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834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<sst xmlns="http://schemas.openxmlformats.org/spreadsheetml/2006/main" count="1867" uniqueCount="664">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</sst>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">
      <c r="A1" s="1" t="s">
        <v>628</v>
      </c>
      <c r="B1" s="2"/>
      <c r="Z1" s="434">
        <v>1</v>
      </c>
      <c r="AA1" s="435">
        <f>IF(ISBLANK(_endDate),"",_endDate)</f>
        <v>44104</v>
      </c>
    </row>
    <row r="2" spans="1:27" ht="15">
      <c r="A2" s="422" t="s">
        <v>652</v>
      </c>
      <c r="B2" s="417"/>
      <c r="Z2" s="434">
        <v>2</v>
      </c>
      <c r="AA2" s="435">
        <f>IF(ISBLANK(_pdeReportingDate),"",_pdeReportingDate)</f>
        <v>44141</v>
      </c>
    </row>
    <row r="3" spans="1:27" ht="15">
      <c r="A3" s="418" t="s">
        <v>626</v>
      </c>
      <c r="B3" s="419"/>
      <c r="Z3" s="434">
        <v>3</v>
      </c>
      <c r="AA3" s="435" t="str">
        <f>IF(ISBLANK(_authorName),"",_authorName)</f>
        <v>Стефка Левиджова</v>
      </c>
    </row>
    <row r="4" spans="1:2" ht="15">
      <c r="A4" s="416" t="s">
        <v>653</v>
      </c>
      <c r="B4" s="417"/>
    </row>
    <row r="5" spans="1:2" ht="46.5">
      <c r="A5" s="420" t="s">
        <v>594</v>
      </c>
      <c r="B5" s="42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43831</v>
      </c>
    </row>
    <row r="10" spans="1:2" ht="15">
      <c r="A10" s="7" t="s">
        <v>2</v>
      </c>
      <c r="B10" s="316">
        <v>44104</v>
      </c>
    </row>
    <row r="11" spans="1:2" ht="15">
      <c r="A11" s="7" t="s">
        <v>640</v>
      </c>
      <c r="B11" s="316">
        <v>44141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/>
    </row>
    <row r="19" spans="1:2" ht="15">
      <c r="A19" s="7" t="s">
        <v>4</v>
      </c>
      <c r="B19" s="315" t="s">
        <v>657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/>
    </row>
    <row r="22" spans="1:2" ht="15">
      <c r="A22" s="10" t="s">
        <v>583</v>
      </c>
      <c r="B22" s="317"/>
    </row>
    <row r="23" spans="1:2" ht="15">
      <c r="A23" s="10" t="s">
        <v>7</v>
      </c>
      <c r="B23" s="424" t="s">
        <v>659</v>
      </c>
    </row>
    <row r="24" spans="1:2" ht="15">
      <c r="A24" s="10" t="s">
        <v>584</v>
      </c>
      <c r="B24" s="425" t="s">
        <v>660</v>
      </c>
    </row>
    <row r="25" spans="1:2" ht="15">
      <c r="A25" s="7" t="s">
        <v>587</v>
      </c>
      <c r="B25" s="426" t="s">
        <v>661</v>
      </c>
    </row>
    <row r="26" spans="1:2" ht="15">
      <c r="A26" s="10" t="s">
        <v>633</v>
      </c>
      <c r="B26" s="317" t="s">
        <v>662</v>
      </c>
    </row>
    <row r="27" spans="1:2" ht="15">
      <c r="A27" s="10" t="s">
        <v>634</v>
      </c>
      <c r="B27" s="317" t="s">
        <v>663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E69" sqref="E6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30.09.2020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">
      <c r="A13" s="66" t="s">
        <v>27</v>
      </c>
      <c r="B13" s="68" t="s">
        <v>28</v>
      </c>
      <c r="C13" s="119">
        <v>45598</v>
      </c>
      <c r="D13" s="119">
        <v>46948</v>
      </c>
      <c r="E13" s="66" t="s">
        <v>525</v>
      </c>
      <c r="F13" s="69" t="s">
        <v>29</v>
      </c>
      <c r="G13" s="119">
        <v>5378</v>
      </c>
      <c r="H13" s="118">
        <v>5378</v>
      </c>
    </row>
    <row r="14" spans="1:8" ht="15">
      <c r="A14" s="66" t="s">
        <v>30</v>
      </c>
      <c r="B14" s="68" t="s">
        <v>31</v>
      </c>
      <c r="C14" s="119">
        <v>6481</v>
      </c>
      <c r="D14" s="119">
        <v>4509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24089</v>
      </c>
      <c r="D16" s="119">
        <v>21529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5378</v>
      </c>
    </row>
    <row r="19" spans="1:8" ht="15.75">
      <c r="A19" s="66" t="s">
        <v>49</v>
      </c>
      <c r="B19" s="68" t="s">
        <v>50</v>
      </c>
      <c r="C19" s="119">
        <v>8920</v>
      </c>
      <c r="D19" s="119">
        <v>9222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85088</v>
      </c>
      <c r="D20" s="336">
        <f>SUM(D12:D19)</f>
        <v>82208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-163</v>
      </c>
      <c r="H22" s="352">
        <f>SUM(H23:H25)</f>
        <v>-608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538</v>
      </c>
      <c r="H23" s="119">
        <v>538</v>
      </c>
    </row>
    <row r="24" spans="1:13" ht="15">
      <c r="A24" s="66" t="s">
        <v>67</v>
      </c>
      <c r="B24" s="68" t="s">
        <v>68</v>
      </c>
      <c r="C24" s="119">
        <v>14169</v>
      </c>
      <c r="D24" s="119">
        <v>14868</v>
      </c>
      <c r="E24" s="124" t="s">
        <v>69</v>
      </c>
      <c r="F24" s="69" t="s">
        <v>70</v>
      </c>
      <c r="G24" s="119"/>
      <c r="H24" s="119"/>
      <c r="M24" s="74"/>
    </row>
    <row r="25" spans="1:8" ht="15">
      <c r="A25" s="66" t="s">
        <v>71</v>
      </c>
      <c r="B25" s="68" t="s">
        <v>72</v>
      </c>
      <c r="C25" s="119">
        <v>5594</v>
      </c>
      <c r="D25" s="119">
        <v>5733</v>
      </c>
      <c r="E25" s="66" t="s">
        <v>73</v>
      </c>
      <c r="F25" s="69" t="s">
        <v>74</v>
      </c>
      <c r="G25" s="119">
        <v>-701</v>
      </c>
      <c r="H25" s="119">
        <v>-1146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19402</v>
      </c>
      <c r="H26" s="336">
        <f>H20+H21+H22</f>
        <v>18957</v>
      </c>
      <c r="M26" s="74"/>
    </row>
    <row r="27" spans="1:8" ht="15.75">
      <c r="A27" s="66" t="s">
        <v>79</v>
      </c>
      <c r="B27" s="68" t="s">
        <v>80</v>
      </c>
      <c r="C27" s="119">
        <v>18621</v>
      </c>
      <c r="D27" s="119">
        <v>18621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38384</v>
      </c>
      <c r="D28" s="336">
        <f>SUM(D24:D27)</f>
        <v>39222</v>
      </c>
      <c r="E28" s="124" t="s">
        <v>84</v>
      </c>
      <c r="F28" s="69" t="s">
        <v>85</v>
      </c>
      <c r="G28" s="333">
        <f>SUM(G29:G31)</f>
        <v>24816</v>
      </c>
      <c r="H28" s="334">
        <f>SUM(H29:H31)</f>
        <v>16545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24816</v>
      </c>
      <c r="H29" s="119">
        <v>16545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9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19522</v>
      </c>
      <c r="H32" s="119">
        <v>19026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44338</v>
      </c>
      <c r="H34" s="336">
        <f>H28+H32+H33</f>
        <v>35571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69118</v>
      </c>
      <c r="H37" s="338">
        <f>H26+H18+H34</f>
        <v>59906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49822</v>
      </c>
      <c r="H45" s="119">
        <v>51175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1760</v>
      </c>
      <c r="H49" s="119">
        <v>4688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51582</v>
      </c>
      <c r="H50" s="334">
        <f>SUM(H44:H49)</f>
        <v>55863</v>
      </c>
    </row>
    <row r="51" spans="1:8" ht="15">
      <c r="A51" s="66" t="s">
        <v>79</v>
      </c>
      <c r="B51" s="68" t="s">
        <v>155</v>
      </c>
      <c r="C51" s="119">
        <v>971</v>
      </c>
      <c r="D51" s="118">
        <v>861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971</v>
      </c>
      <c r="D52" s="336">
        <f>SUM(D48:D51)</f>
        <v>861</v>
      </c>
      <c r="E52" s="123" t="s">
        <v>158</v>
      </c>
      <c r="F52" s="71" t="s">
        <v>159</v>
      </c>
      <c r="G52" s="119">
        <v>173</v>
      </c>
      <c r="H52" s="118">
        <v>258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1858</v>
      </c>
      <c r="H54" s="118">
        <v>1858</v>
      </c>
    </row>
    <row r="55" spans="1:8" ht="15.75">
      <c r="A55" s="76" t="s">
        <v>166</v>
      </c>
      <c r="B55" s="72" t="s">
        <v>167</v>
      </c>
      <c r="C55" s="246">
        <v>492</v>
      </c>
      <c r="D55" s="247">
        <v>514</v>
      </c>
      <c r="E55" s="66" t="s">
        <v>168</v>
      </c>
      <c r="F55" s="71" t="s">
        <v>169</v>
      </c>
      <c r="G55" s="119"/>
      <c r="H55" s="118">
        <v>34</v>
      </c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124935</v>
      </c>
      <c r="D56" s="340">
        <f>D20+D21+D22+D28+D33+D46+D52+D54+D55</f>
        <v>122805</v>
      </c>
      <c r="E56" s="76" t="s">
        <v>529</v>
      </c>
      <c r="F56" s="75" t="s">
        <v>172</v>
      </c>
      <c r="G56" s="337">
        <f>G50+G52+G53+G54+G55</f>
        <v>53613</v>
      </c>
      <c r="H56" s="338">
        <f>H50+H52+H53+H54+H55</f>
        <v>58013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545</v>
      </c>
      <c r="D59" s="118">
        <v>568</v>
      </c>
      <c r="E59" s="123" t="s">
        <v>180</v>
      </c>
      <c r="F59" s="254" t="s">
        <v>181</v>
      </c>
      <c r="G59" s="119">
        <v>19918</v>
      </c>
      <c r="H59" s="118">
        <v>20549</v>
      </c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29386</v>
      </c>
      <c r="H61" s="334">
        <f>SUM(H62:H68)</f>
        <v>20877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680</v>
      </c>
      <c r="H62" s="119">
        <v>468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18738</v>
      </c>
      <c r="H64" s="119">
        <v>11296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545</v>
      </c>
      <c r="D65" s="336">
        <f>SUM(D59:D64)</f>
        <v>568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5104</v>
      </c>
      <c r="H66" s="119">
        <v>4439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2017</v>
      </c>
      <c r="H67" s="119">
        <v>1670</v>
      </c>
    </row>
    <row r="68" spans="1:8" ht="15">
      <c r="A68" s="66" t="s">
        <v>206</v>
      </c>
      <c r="B68" s="68" t="s">
        <v>207</v>
      </c>
      <c r="C68" s="119">
        <v>1058</v>
      </c>
      <c r="D68" s="119">
        <v>1321</v>
      </c>
      <c r="E68" s="66" t="s">
        <v>212</v>
      </c>
      <c r="F68" s="69" t="s">
        <v>213</v>
      </c>
      <c r="G68" s="119">
        <v>2847</v>
      </c>
      <c r="H68" s="119">
        <v>3004</v>
      </c>
    </row>
    <row r="69" spans="1:8" ht="15">
      <c r="A69" s="66" t="s">
        <v>210</v>
      </c>
      <c r="B69" s="68" t="s">
        <v>211</v>
      </c>
      <c r="C69" s="119">
        <v>26888</v>
      </c>
      <c r="D69" s="119">
        <v>24202</v>
      </c>
      <c r="E69" s="123" t="s">
        <v>79</v>
      </c>
      <c r="F69" s="69" t="s">
        <v>216</v>
      </c>
      <c r="G69" s="119">
        <v>6926</v>
      </c>
      <c r="H69" s="119">
        <v>8928</v>
      </c>
    </row>
    <row r="70" spans="1:8" ht="1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56230</v>
      </c>
      <c r="H71" s="336">
        <f>H59+H60+H61+H69+H70</f>
        <v>50354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581</v>
      </c>
      <c r="D73" s="119">
        <v>593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3350</v>
      </c>
      <c r="D75" s="119">
        <v>2683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31877</v>
      </c>
      <c r="D76" s="336">
        <f>SUM(D68:D75)</f>
        <v>28799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38</v>
      </c>
      <c r="H77" s="247">
        <v>95</v>
      </c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56268</v>
      </c>
      <c r="H79" s="338">
        <f>H71+H73+H75+H77</f>
        <v>50449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388</v>
      </c>
      <c r="D88" s="119">
        <v>662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21254</v>
      </c>
      <c r="D89" s="119">
        <v>15534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9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21642</v>
      </c>
      <c r="D92" s="336">
        <f>SUM(D88:D91)</f>
        <v>16196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54064</v>
      </c>
      <c r="D94" s="340">
        <f>D65+D76+D85+D92+D93</f>
        <v>45563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178999</v>
      </c>
      <c r="D95" s="342">
        <f>D94+D56</f>
        <v>168368</v>
      </c>
      <c r="E95" s="150" t="s">
        <v>607</v>
      </c>
      <c r="F95" s="257" t="s">
        <v>268</v>
      </c>
      <c r="G95" s="341">
        <f>G37+G40+G56+G79</f>
        <v>178999</v>
      </c>
      <c r="H95" s="342">
        <f>H37+H40+H56+H79</f>
        <v>168368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9" t="s">
        <v>640</v>
      </c>
      <c r="B98" s="437">
        <f>pdeReportingDate</f>
        <v>44141</v>
      </c>
      <c r="C98" s="437"/>
      <c r="D98" s="437"/>
      <c r="E98" s="437"/>
      <c r="F98" s="437"/>
      <c r="G98" s="437"/>
      <c r="H98" s="437"/>
      <c r="M98" s="74"/>
    </row>
    <row r="99" spans="1:13" ht="1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0" t="s">
        <v>8</v>
      </c>
      <c r="B100" s="438" t="str">
        <f>authorName</f>
        <v>Стефка Левиджова</v>
      </c>
      <c r="C100" s="438"/>
      <c r="D100" s="438"/>
      <c r="E100" s="438"/>
      <c r="F100" s="438"/>
      <c r="G100" s="438"/>
      <c r="H100" s="438"/>
    </row>
    <row r="101" spans="1:8" ht="15">
      <c r="A101" s="430"/>
      <c r="B101" s="57"/>
      <c r="C101" s="57"/>
      <c r="D101" s="57"/>
      <c r="E101" s="57"/>
      <c r="F101" s="57"/>
      <c r="G101" s="57"/>
      <c r="H101" s="57"/>
    </row>
    <row r="102" spans="1:8" ht="1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4">
      <selection activeCell="C13" sqref="C1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30.09.2020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7274</v>
      </c>
      <c r="D12" s="237">
        <v>6956</v>
      </c>
      <c r="E12" s="116" t="s">
        <v>277</v>
      </c>
      <c r="F12" s="161" t="s">
        <v>278</v>
      </c>
      <c r="G12" s="237"/>
      <c r="H12" s="237"/>
    </row>
    <row r="13" spans="1:8" ht="15">
      <c r="A13" s="116" t="s">
        <v>279</v>
      </c>
      <c r="B13" s="112" t="s">
        <v>280</v>
      </c>
      <c r="C13" s="237">
        <f>102853+49</f>
        <v>102902</v>
      </c>
      <c r="D13" s="237">
        <v>83298</v>
      </c>
      <c r="E13" s="116" t="s">
        <v>281</v>
      </c>
      <c r="F13" s="161" t="s">
        <v>282</v>
      </c>
      <c r="G13" s="237"/>
      <c r="H13" s="237"/>
    </row>
    <row r="14" spans="1:8" ht="15">
      <c r="A14" s="116" t="s">
        <v>283</v>
      </c>
      <c r="B14" s="112" t="s">
        <v>284</v>
      </c>
      <c r="C14" s="237">
        <v>16382</v>
      </c>
      <c r="D14" s="237">
        <v>15902</v>
      </c>
      <c r="E14" s="166" t="s">
        <v>285</v>
      </c>
      <c r="F14" s="161" t="s">
        <v>286</v>
      </c>
      <c r="G14" s="237">
        <v>189227</v>
      </c>
      <c r="H14" s="237">
        <v>151208</v>
      </c>
    </row>
    <row r="15" spans="1:8" ht="15">
      <c r="A15" s="116" t="s">
        <v>287</v>
      </c>
      <c r="B15" s="112" t="s">
        <v>288</v>
      </c>
      <c r="C15" s="237">
        <v>33367</v>
      </c>
      <c r="D15" s="237">
        <v>28117</v>
      </c>
      <c r="E15" s="166" t="s">
        <v>79</v>
      </c>
      <c r="F15" s="161" t="s">
        <v>289</v>
      </c>
      <c r="G15" s="237">
        <v>6699</v>
      </c>
      <c r="H15" s="237">
        <v>7529</v>
      </c>
    </row>
    <row r="16" spans="1:8" ht="15.75">
      <c r="A16" s="116" t="s">
        <v>290</v>
      </c>
      <c r="B16" s="112" t="s">
        <v>291</v>
      </c>
      <c r="C16" s="237">
        <v>8510</v>
      </c>
      <c r="D16" s="237">
        <v>6627</v>
      </c>
      <c r="E16" s="157" t="s">
        <v>52</v>
      </c>
      <c r="F16" s="185" t="s">
        <v>292</v>
      </c>
      <c r="G16" s="366">
        <f>SUM(G12:G15)</f>
        <v>195926</v>
      </c>
      <c r="H16" s="367">
        <f>SUM(H12:H15)</f>
        <v>158737</v>
      </c>
    </row>
    <row r="17" spans="1:8" ht="30.75">
      <c r="A17" s="116" t="s">
        <v>293</v>
      </c>
      <c r="B17" s="112" t="s">
        <v>294</v>
      </c>
      <c r="C17" s="237">
        <v>0</v>
      </c>
      <c r="D17" s="237">
        <v>0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0</v>
      </c>
      <c r="D18" s="237">
        <v>0</v>
      </c>
      <c r="E18" s="155" t="s">
        <v>297</v>
      </c>
      <c r="F18" s="159" t="s">
        <v>298</v>
      </c>
      <c r="G18" s="377">
        <v>91</v>
      </c>
      <c r="H18" s="377">
        <v>240</v>
      </c>
    </row>
    <row r="19" spans="1:8" ht="15">
      <c r="A19" s="116" t="s">
        <v>299</v>
      </c>
      <c r="B19" s="112" t="s">
        <v>300</v>
      </c>
      <c r="C19" s="237">
        <v>3627</v>
      </c>
      <c r="D19" s="237">
        <v>2407</v>
      </c>
      <c r="E19" s="116" t="s">
        <v>301</v>
      </c>
      <c r="F19" s="158" t="s">
        <v>302</v>
      </c>
      <c r="G19" s="237">
        <v>91</v>
      </c>
      <c r="H19" s="237">
        <v>240</v>
      </c>
    </row>
    <row r="20" spans="1:8" ht="15.75">
      <c r="A20" s="156" t="s">
        <v>303</v>
      </c>
      <c r="B20" s="112" t="s">
        <v>304</v>
      </c>
      <c r="C20" s="237">
        <v>0</v>
      </c>
      <c r="D20" s="237">
        <v>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172062</v>
      </c>
      <c r="D22" s="367">
        <f>SUM(D12:D18)+D19</f>
        <v>143307</v>
      </c>
      <c r="E22" s="116" t="s">
        <v>309</v>
      </c>
      <c r="F22" s="158" t="s">
        <v>310</v>
      </c>
      <c r="G22" s="237"/>
      <c r="H22" s="237">
        <v>184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1742</v>
      </c>
      <c r="D25" s="237">
        <v>1549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>
        <v>77</v>
      </c>
      <c r="D27" s="237">
        <v>295</v>
      </c>
      <c r="E27" s="157" t="s">
        <v>104</v>
      </c>
      <c r="F27" s="159" t="s">
        <v>326</v>
      </c>
      <c r="G27" s="366">
        <f>SUM(G22:G26)</f>
        <v>0</v>
      </c>
      <c r="H27" s="367">
        <f>SUM(H22:H26)</f>
        <v>184</v>
      </c>
    </row>
    <row r="28" spans="1:8" ht="15">
      <c r="A28" s="116" t="s">
        <v>79</v>
      </c>
      <c r="B28" s="158" t="s">
        <v>327</v>
      </c>
      <c r="C28" s="237"/>
      <c r="D28" s="237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1819</v>
      </c>
      <c r="D29" s="367">
        <f>SUM(D25:D28)</f>
        <v>1844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173881</v>
      </c>
      <c r="D31" s="373">
        <f>D29+D22</f>
        <v>145151</v>
      </c>
      <c r="E31" s="172" t="s">
        <v>521</v>
      </c>
      <c r="F31" s="187" t="s">
        <v>331</v>
      </c>
      <c r="G31" s="174">
        <f>G16+G18+G27</f>
        <v>196017</v>
      </c>
      <c r="H31" s="175">
        <f>H16+H18+H27</f>
        <v>159161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22136</v>
      </c>
      <c r="D33" s="165">
        <f>IF((H31-D31)&gt;0,H31-D31,0)</f>
        <v>14010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173881</v>
      </c>
      <c r="D36" s="375">
        <f>D31-D34+D35</f>
        <v>145151</v>
      </c>
      <c r="E36" s="183" t="s">
        <v>346</v>
      </c>
      <c r="F36" s="177" t="s">
        <v>347</v>
      </c>
      <c r="G36" s="188">
        <f>G35-G34+G31</f>
        <v>196017</v>
      </c>
      <c r="H36" s="189">
        <f>H35-H34+H31</f>
        <v>159161</v>
      </c>
    </row>
    <row r="37" spans="1:8" ht="15.75">
      <c r="A37" s="182" t="s">
        <v>348</v>
      </c>
      <c r="B37" s="152" t="s">
        <v>349</v>
      </c>
      <c r="C37" s="372">
        <f>IF((G36-C36)&gt;0,G36-C36,0)</f>
        <v>22136</v>
      </c>
      <c r="D37" s="373">
        <f>IF((H36-D36)&gt;0,H36-D36,0)</f>
        <v>14010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2614</v>
      </c>
      <c r="D38" s="367">
        <f>D39+D40+D41</f>
        <v>1902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2614</v>
      </c>
      <c r="D39" s="237">
        <v>1902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19522</v>
      </c>
      <c r="D42" s="165">
        <f>+IF((H36-D36-D38)&gt;0,H36-D36-D38,0)</f>
        <v>12108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19522</v>
      </c>
      <c r="D44" s="189">
        <f>IF(H42=0,IF(D42-D43&gt;0,D42-D43+H43,0),IF(H42-H43&lt;0,H43-H42+D42,0))</f>
        <v>12108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196017</v>
      </c>
      <c r="D45" s="369">
        <f>D36+D38+D42</f>
        <v>159161</v>
      </c>
      <c r="E45" s="191" t="s">
        <v>373</v>
      </c>
      <c r="F45" s="193" t="s">
        <v>374</v>
      </c>
      <c r="G45" s="368">
        <f>G42+G36</f>
        <v>196017</v>
      </c>
      <c r="H45" s="369">
        <f>H42+H36</f>
        <v>159161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9" t="s">
        <v>640</v>
      </c>
      <c r="B50" s="437">
        <f>pdeReportingDate</f>
        <v>44141</v>
      </c>
      <c r="C50" s="437"/>
      <c r="D50" s="437"/>
      <c r="E50" s="437"/>
      <c r="F50" s="437"/>
      <c r="G50" s="437"/>
      <c r="H50" s="437"/>
      <c r="M50" s="74"/>
    </row>
    <row r="51" spans="1:13" s="35" customFormat="1" ht="1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0" t="s">
        <v>8</v>
      </c>
      <c r="B52" s="438" t="str">
        <f>authorName</f>
        <v>Стефка Левиджова</v>
      </c>
      <c r="C52" s="438"/>
      <c r="D52" s="438"/>
      <c r="E52" s="438"/>
      <c r="F52" s="438"/>
      <c r="G52" s="438"/>
      <c r="H52" s="438"/>
    </row>
    <row r="53" spans="1:8" s="35" customFormat="1" ht="1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">
      <c r="A59" s="431"/>
      <c r="B59" s="436"/>
      <c r="C59" s="436"/>
      <c r="D59" s="436"/>
      <c r="E59" s="436"/>
      <c r="F59" s="312"/>
      <c r="G59" s="37"/>
      <c r="H59" s="35"/>
    </row>
    <row r="60" spans="1:8" ht="15">
      <c r="A60" s="431"/>
      <c r="B60" s="436"/>
      <c r="C60" s="436"/>
      <c r="D60" s="436"/>
      <c r="E60" s="436"/>
      <c r="F60" s="312"/>
      <c r="G60" s="37"/>
      <c r="H60" s="35"/>
    </row>
    <row r="61" spans="1:8" ht="15">
      <c r="A61" s="431"/>
      <c r="B61" s="436"/>
      <c r="C61" s="436"/>
      <c r="D61" s="436"/>
      <c r="E61" s="436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21" sqref="C2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30.09.2020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236997</v>
      </c>
      <c r="D11" s="119">
        <v>186261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-153468</v>
      </c>
      <c r="D12" s="119">
        <v>-121859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>
        <v>0</v>
      </c>
      <c r="D13" s="119">
        <v>0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-40289</v>
      </c>
      <c r="D14" s="119">
        <v>-32188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-11765</v>
      </c>
      <c r="D15" s="119">
        <v>-9155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-2244</v>
      </c>
      <c r="D16" s="119">
        <v>-1723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0</v>
      </c>
      <c r="D17" s="119">
        <v>0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0</v>
      </c>
      <c r="D18" s="119">
        <v>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-490</v>
      </c>
      <c r="D19" s="119">
        <v>-138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4815</v>
      </c>
      <c r="D20" s="119">
        <v>-3432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5">
        <f>SUM(C11:C20)</f>
        <v>33556</v>
      </c>
      <c r="D21" s="396">
        <f>SUM(D11:D20)</f>
        <v>17766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-4193</v>
      </c>
      <c r="D23" s="119">
        <v>-3275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228</v>
      </c>
      <c r="D24" s="119">
        <v>1090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-4133</v>
      </c>
      <c r="D28" s="119">
        <v>-5558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5">
        <f>SUM(C23:C32)</f>
        <v>-8098</v>
      </c>
      <c r="D33" s="396">
        <f>SUM(D23:D32)</f>
        <v>-7743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">
      <c r="A35" s="198" t="s">
        <v>423</v>
      </c>
      <c r="B35" s="100" t="s">
        <v>424</v>
      </c>
      <c r="C35" s="119"/>
      <c r="D35" s="119"/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/>
      <c r="D37" s="119">
        <v>2474</v>
      </c>
      <c r="E37" s="99"/>
      <c r="F37" s="99"/>
    </row>
    <row r="38" spans="1:6" ht="15">
      <c r="A38" s="198" t="s">
        <v>429</v>
      </c>
      <c r="B38" s="100" t="s">
        <v>430</v>
      </c>
      <c r="C38" s="119">
        <v>-1474</v>
      </c>
      <c r="D38" s="119">
        <v>-2224</v>
      </c>
      <c r="E38" s="99"/>
      <c r="F38" s="99"/>
    </row>
    <row r="39" spans="1:6" ht="15">
      <c r="A39" s="198" t="s">
        <v>431</v>
      </c>
      <c r="B39" s="100" t="s">
        <v>432</v>
      </c>
      <c r="C39" s="119">
        <v>-7049</v>
      </c>
      <c r="D39" s="119">
        <v>-6309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-757</v>
      </c>
      <c r="D40" s="119">
        <v>-107</v>
      </c>
      <c r="E40" s="99"/>
      <c r="F40" s="99"/>
    </row>
    <row r="41" spans="1:6" ht="15">
      <c r="A41" s="198" t="s">
        <v>435</v>
      </c>
      <c r="B41" s="100" t="s">
        <v>436</v>
      </c>
      <c r="C41" s="119">
        <v>-10732</v>
      </c>
      <c r="D41" s="119">
        <v>-7529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7">
        <f>SUM(C35:C42)</f>
        <v>-20012</v>
      </c>
      <c r="D43" s="398">
        <f>SUM(D35:D42)</f>
        <v>-13695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5446</v>
      </c>
      <c r="D44" s="228">
        <f>D43+D33+D21</f>
        <v>-3672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16196</v>
      </c>
      <c r="D45" s="230">
        <v>15089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21642</v>
      </c>
      <c r="D46" s="232">
        <f>D45+D44</f>
        <v>11417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7" t="s">
        <v>631</v>
      </c>
      <c r="G50" s="102"/>
      <c r="H50" s="102"/>
    </row>
    <row r="51" spans="1:8" ht="15">
      <c r="A51" s="441" t="s">
        <v>637</v>
      </c>
      <c r="B51" s="441"/>
      <c r="C51" s="441"/>
      <c r="D51" s="441"/>
      <c r="G51" s="102"/>
      <c r="H51" s="102"/>
    </row>
    <row r="52" spans="1:8" ht="15">
      <c r="A52" s="428"/>
      <c r="B52" s="428"/>
      <c r="C52" s="428"/>
      <c r="D52" s="428"/>
      <c r="G52" s="102"/>
      <c r="H52" s="102"/>
    </row>
    <row r="53" spans="1:8" ht="15">
      <c r="A53" s="428"/>
      <c r="B53" s="428"/>
      <c r="C53" s="428"/>
      <c r="D53" s="428"/>
      <c r="G53" s="102"/>
      <c r="H53" s="102"/>
    </row>
    <row r="54" spans="1:13" s="35" customFormat="1" ht="15">
      <c r="A54" s="429" t="s">
        <v>640</v>
      </c>
      <c r="B54" s="437">
        <f>pdeReportingDate</f>
        <v>44141</v>
      </c>
      <c r="C54" s="437"/>
      <c r="D54" s="437"/>
      <c r="E54" s="437"/>
      <c r="F54" s="432"/>
      <c r="G54" s="432"/>
      <c r="H54" s="432"/>
      <c r="M54" s="74"/>
    </row>
    <row r="55" spans="1:13" s="35" customFormat="1" ht="1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">
      <c r="A56" s="430" t="s">
        <v>8</v>
      </c>
      <c r="B56" s="438" t="str">
        <f>authorName</f>
        <v>Стефка Левиджова</v>
      </c>
      <c r="C56" s="438"/>
      <c r="D56" s="438"/>
      <c r="E56" s="438"/>
      <c r="F56" s="57"/>
      <c r="G56" s="57"/>
      <c r="H56" s="57"/>
    </row>
    <row r="57" spans="1:8" s="35" customFormat="1" ht="1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">
      <c r="A59" s="431"/>
      <c r="B59" s="436" t="s">
        <v>642</v>
      </c>
      <c r="C59" s="436"/>
      <c r="D59" s="436"/>
      <c r="E59" s="436"/>
      <c r="F59" s="312"/>
      <c r="G59" s="37"/>
      <c r="H59" s="35"/>
    </row>
    <row r="60" spans="1:8" ht="1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">
      <c r="A63" s="431"/>
      <c r="B63" s="436"/>
      <c r="C63" s="436"/>
      <c r="D63" s="436"/>
      <c r="E63" s="436"/>
      <c r="F63" s="312"/>
      <c r="G63" s="37"/>
      <c r="H63" s="35"/>
    </row>
    <row r="64" spans="1:8" ht="15">
      <c r="A64" s="431"/>
      <c r="B64" s="436"/>
      <c r="C64" s="436"/>
      <c r="D64" s="436"/>
      <c r="E64" s="436"/>
      <c r="F64" s="312"/>
      <c r="G64" s="37"/>
      <c r="H64" s="35"/>
    </row>
    <row r="65" spans="1:8" ht="15">
      <c r="A65" s="431"/>
      <c r="B65" s="436"/>
      <c r="C65" s="436"/>
      <c r="D65" s="436"/>
      <c r="E65" s="436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20" sqref="I2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30.09.2020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0.7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0.7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5378</v>
      </c>
      <c r="D13" s="322">
        <f>'1-Баланс'!H20</f>
        <v>19565</v>
      </c>
      <c r="E13" s="322">
        <f>'1-Баланс'!H21</f>
        <v>0</v>
      </c>
      <c r="F13" s="322">
        <f>'1-Баланс'!H23</f>
        <v>538</v>
      </c>
      <c r="G13" s="322">
        <f>'1-Баланс'!H24</f>
        <v>0</v>
      </c>
      <c r="H13" s="323">
        <v>-1146</v>
      </c>
      <c r="I13" s="322">
        <f>'1-Баланс'!H29+'1-Баланс'!H32</f>
        <v>35571</v>
      </c>
      <c r="J13" s="322">
        <f>'1-Баланс'!H30+'1-Баланс'!H33</f>
        <v>0</v>
      </c>
      <c r="K13" s="323"/>
      <c r="L13" s="322">
        <f>SUM(C13:K13)</f>
        <v>59906</v>
      </c>
      <c r="M13" s="324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0">
        <f>C13+C14</f>
        <v>5378</v>
      </c>
      <c r="D17" s="390">
        <f aca="true" t="shared" si="2" ref="D17:M17">D13+D14</f>
        <v>19565</v>
      </c>
      <c r="E17" s="390">
        <f t="shared" si="2"/>
        <v>0</v>
      </c>
      <c r="F17" s="390">
        <f t="shared" si="2"/>
        <v>538</v>
      </c>
      <c r="G17" s="390">
        <f t="shared" si="2"/>
        <v>0</v>
      </c>
      <c r="H17" s="390">
        <f t="shared" si="2"/>
        <v>-1146</v>
      </c>
      <c r="I17" s="390">
        <f t="shared" si="2"/>
        <v>35571</v>
      </c>
      <c r="J17" s="390">
        <f t="shared" si="2"/>
        <v>0</v>
      </c>
      <c r="K17" s="390">
        <f t="shared" si="2"/>
        <v>0</v>
      </c>
      <c r="L17" s="322">
        <f t="shared" si="1"/>
        <v>59906</v>
      </c>
      <c r="M17" s="391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19522</v>
      </c>
      <c r="J18" s="322">
        <f>+'1-Баланс'!G33</f>
        <v>0</v>
      </c>
      <c r="K18" s="323"/>
      <c r="L18" s="322">
        <f t="shared" si="1"/>
        <v>19522</v>
      </c>
      <c r="M18" s="376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-10755</v>
      </c>
      <c r="J19" s="90">
        <f>J20+J21</f>
        <v>0</v>
      </c>
      <c r="K19" s="90">
        <f t="shared" si="3"/>
        <v>0</v>
      </c>
      <c r="L19" s="322">
        <f t="shared" si="1"/>
        <v>-10755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-10755</v>
      </c>
      <c r="J20" s="237"/>
      <c r="K20" s="237"/>
      <c r="L20" s="322">
        <f>SUM(C20:K20)</f>
        <v>-10755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445</v>
      </c>
      <c r="I30" s="237"/>
      <c r="J30" s="237"/>
      <c r="K30" s="237"/>
      <c r="L30" s="322">
        <f t="shared" si="1"/>
        <v>445</v>
      </c>
      <c r="M30" s="238"/>
      <c r="N30" s="91"/>
    </row>
    <row r="31" spans="1:14" ht="15">
      <c r="A31" s="285" t="s">
        <v>501</v>
      </c>
      <c r="B31" s="286" t="s">
        <v>502</v>
      </c>
      <c r="C31" s="390">
        <f>C19+C22+C23+C26+C30+C29+C17+C18</f>
        <v>5378</v>
      </c>
      <c r="D31" s="390">
        <f aca="true" t="shared" si="6" ref="D31:M31">D19+D22+D23+D26+D30+D29+D17+D18</f>
        <v>19565</v>
      </c>
      <c r="E31" s="390">
        <f t="shared" si="6"/>
        <v>0</v>
      </c>
      <c r="F31" s="390">
        <f t="shared" si="6"/>
        <v>538</v>
      </c>
      <c r="G31" s="390">
        <f t="shared" si="6"/>
        <v>0</v>
      </c>
      <c r="H31" s="390">
        <f t="shared" si="6"/>
        <v>-701</v>
      </c>
      <c r="I31" s="390">
        <f t="shared" si="6"/>
        <v>44338</v>
      </c>
      <c r="J31" s="390">
        <f t="shared" si="6"/>
        <v>0</v>
      </c>
      <c r="K31" s="390">
        <f t="shared" si="6"/>
        <v>0</v>
      </c>
      <c r="L31" s="322">
        <f t="shared" si="1"/>
        <v>69118</v>
      </c>
      <c r="M31" s="391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538</v>
      </c>
      <c r="G34" s="325">
        <f t="shared" si="7"/>
        <v>0</v>
      </c>
      <c r="H34" s="325">
        <f t="shared" si="7"/>
        <v>-701</v>
      </c>
      <c r="I34" s="325">
        <f t="shared" si="7"/>
        <v>44338</v>
      </c>
      <c r="J34" s="325">
        <f t="shared" si="7"/>
        <v>0</v>
      </c>
      <c r="K34" s="325">
        <f t="shared" si="7"/>
        <v>0</v>
      </c>
      <c r="L34" s="388">
        <f t="shared" si="1"/>
        <v>69118</v>
      </c>
      <c r="M34" s="326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9" t="s">
        <v>640</v>
      </c>
      <c r="B38" s="437">
        <f>pdeReportingDate</f>
        <v>44141</v>
      </c>
      <c r="C38" s="437"/>
      <c r="D38" s="437"/>
      <c r="E38" s="437"/>
      <c r="F38" s="437"/>
      <c r="G38" s="437"/>
      <c r="H38" s="437"/>
      <c r="M38" s="91"/>
    </row>
    <row r="39" spans="1:13" ht="1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0" t="s">
        <v>8</v>
      </c>
      <c r="B40" s="438" t="str">
        <f>authorName</f>
        <v>Стефка Левиджова</v>
      </c>
      <c r="C40" s="438"/>
      <c r="D40" s="438"/>
      <c r="E40" s="438"/>
      <c r="F40" s="438"/>
      <c r="G40" s="438"/>
      <c r="H40" s="438"/>
      <c r="M40" s="91"/>
    </row>
    <row r="41" spans="1:13" ht="1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">
      <c r="A43" s="431"/>
      <c r="B43" s="436" t="s">
        <v>642</v>
      </c>
      <c r="C43" s="436"/>
      <c r="D43" s="436"/>
      <c r="E43" s="436"/>
      <c r="F43" s="312"/>
      <c r="G43" s="37"/>
      <c r="H43" s="35"/>
      <c r="M43" s="91"/>
    </row>
    <row r="44" spans="1:13" ht="1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">
      <c r="A49" s="431"/>
      <c r="B49" s="436"/>
      <c r="C49" s="436"/>
      <c r="D49" s="436"/>
      <c r="E49" s="436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">
      <c r="A2" s="400" t="str">
        <f>CONCATENATE("на информацията, въведена в справките на ",UPPER(pdeName))</f>
        <v>на информацията, въведена в справките на "СПИДИ"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">
      <c r="A3" s="400" t="str">
        <f>CONCATENATE("за периода от ",TEXT(startDate,"dd.mm.yyyy г.")," до ",TEXT(endDate,"dd.mm.yyyy г."))</f>
        <v>за периода от 01.01.2020 г. до 30.09.2020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178999</v>
      </c>
      <c r="D6" s="412">
        <f aca="true" t="shared" si="0" ref="D6:D15">C6-E6</f>
        <v>0</v>
      </c>
      <c r="E6" s="411">
        <f>'1-Баланс'!G95</f>
        <v>178999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69118</v>
      </c>
      <c r="D7" s="412">
        <f t="shared" si="0"/>
        <v>63740</v>
      </c>
      <c r="E7" s="411">
        <f>'1-Баланс'!G18</f>
        <v>5378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19522</v>
      </c>
      <c r="D8" s="412">
        <f t="shared" si="0"/>
        <v>0</v>
      </c>
      <c r="E8" s="411">
        <f>ABS('2-Отчет за доходите'!C44)-ABS('2-Отчет за доходите'!G44)</f>
        <v>19522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16196</v>
      </c>
      <c r="D9" s="412">
        <f t="shared" si="0"/>
        <v>0</v>
      </c>
      <c r="E9" s="411">
        <f>'3-Отчет за паричния поток'!C45</f>
        <v>16196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21642</v>
      </c>
      <c r="D10" s="412">
        <f t="shared" si="0"/>
        <v>0</v>
      </c>
      <c r="E10" s="411">
        <f>'3-Отчет за паричния поток'!C46</f>
        <v>21642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69118</v>
      </c>
      <c r="D11" s="412">
        <f t="shared" si="0"/>
        <v>0</v>
      </c>
      <c r="E11" s="411">
        <f>'4-Отчет за собствения капитал'!L34</f>
        <v>69118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0.7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0.09963965987158417</v>
      </c>
      <c r="E3" s="383"/>
    </row>
    <row r="4" spans="1:4" ht="30.7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0.2824445151769438</v>
      </c>
    </row>
    <row r="5" spans="1:4" ht="30.7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0.17766492842256623</v>
      </c>
    </row>
    <row r="6" spans="1:4" ht="30.7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0.10906206179922792</v>
      </c>
    </row>
    <row r="7" spans="1:4" ht="24" customHeight="1">
      <c r="A7" s="382" t="s">
        <v>558</v>
      </c>
      <c r="B7" s="380"/>
      <c r="C7" s="380"/>
      <c r="D7" s="381"/>
    </row>
    <row r="8" spans="1:4" ht="30.7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1.1273054560302735</v>
      </c>
    </row>
    <row r="9" spans="1:4" ht="24" customHeight="1">
      <c r="A9" s="382" t="s">
        <v>561</v>
      </c>
      <c r="B9" s="380"/>
      <c r="C9" s="380"/>
      <c r="D9" s="381"/>
    </row>
    <row r="10" spans="1:4" ht="30.75">
      <c r="A10" s="330">
        <v>6</v>
      </c>
      <c r="B10" s="328" t="s">
        <v>562</v>
      </c>
      <c r="C10" s="329" t="s">
        <v>563</v>
      </c>
      <c r="D10" s="378">
        <f>'1-Баланс'!C94/'1-Баланс'!G79</f>
        <v>0.9608303120779128</v>
      </c>
    </row>
    <row r="11" spans="1:4" ht="62.25">
      <c r="A11" s="330">
        <v>7</v>
      </c>
      <c r="B11" s="328" t="s">
        <v>564</v>
      </c>
      <c r="C11" s="329" t="s">
        <v>629</v>
      </c>
      <c r="D11" s="378">
        <f>('1-Баланс'!C76+'1-Баланс'!C85+'1-Баланс'!C92)/'1-Баланс'!G79</f>
        <v>0.9511445226416435</v>
      </c>
    </row>
    <row r="12" spans="1:4" ht="46.5">
      <c r="A12" s="330">
        <v>8</v>
      </c>
      <c r="B12" s="328" t="s">
        <v>565</v>
      </c>
      <c r="C12" s="329" t="s">
        <v>630</v>
      </c>
      <c r="D12" s="378">
        <f>('1-Баланс'!C85+'1-Баланс'!C92)/'1-Баланс'!G79</f>
        <v>0.38462358711878863</v>
      </c>
    </row>
    <row r="13" spans="1:4" ht="30.75">
      <c r="A13" s="330">
        <v>9</v>
      </c>
      <c r="B13" s="328" t="s">
        <v>566</v>
      </c>
      <c r="C13" s="329" t="s">
        <v>567</v>
      </c>
      <c r="D13" s="378">
        <f>'1-Баланс'!C92/'1-Баланс'!G79</f>
        <v>0.38462358711878863</v>
      </c>
    </row>
    <row r="14" spans="1:4" ht="24" customHeight="1">
      <c r="A14" s="382" t="s">
        <v>568</v>
      </c>
      <c r="B14" s="380"/>
      <c r="C14" s="380"/>
      <c r="D14" s="381"/>
    </row>
    <row r="15" spans="1:4" ht="30.7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1.5798317972536022</v>
      </c>
    </row>
    <row r="16" spans="1:4" ht="30.7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1.0945647741048832</v>
      </c>
    </row>
    <row r="17" spans="1:4" ht="24" customHeight="1">
      <c r="A17" s="382" t="s">
        <v>571</v>
      </c>
      <c r="B17" s="380"/>
      <c r="C17" s="380"/>
      <c r="D17" s="381"/>
    </row>
    <row r="18" spans="1:4" ht="30.75">
      <c r="A18" s="330">
        <v>12</v>
      </c>
      <c r="B18" s="328" t="s">
        <v>597</v>
      </c>
      <c r="C18" s="329" t="s">
        <v>570</v>
      </c>
      <c r="D18" s="378">
        <f>'1-Баланс'!G56/('1-Баланс'!G37+'1-Баланс'!G56)</f>
        <v>0.43683339987452235</v>
      </c>
    </row>
    <row r="19" spans="1:4" ht="30.75">
      <c r="A19" s="330">
        <v>13</v>
      </c>
      <c r="B19" s="328" t="s">
        <v>598</v>
      </c>
      <c r="C19" s="329" t="s">
        <v>572</v>
      </c>
      <c r="D19" s="378">
        <f>D4/D5</f>
        <v>1.5897595416534045</v>
      </c>
    </row>
    <row r="20" spans="1:4" ht="30.75">
      <c r="A20" s="330">
        <v>14</v>
      </c>
      <c r="B20" s="328" t="s">
        <v>573</v>
      </c>
      <c r="C20" s="329" t="s">
        <v>574</v>
      </c>
      <c r="D20" s="378">
        <f>D6/D5</f>
        <v>0.6138637646020368</v>
      </c>
    </row>
    <row r="21" spans="1:5" ht="1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23878</v>
      </c>
      <c r="E21" s="433"/>
    </row>
    <row r="22" spans="1:4" ht="46.5">
      <c r="A22" s="330">
        <v>16</v>
      </c>
      <c r="B22" s="328" t="s">
        <v>579</v>
      </c>
      <c r="C22" s="329" t="s">
        <v>580</v>
      </c>
      <c r="D22" s="384">
        <f>D21/'1-Баланс'!G37</f>
        <v>0.34546717208252553</v>
      </c>
    </row>
    <row r="23" spans="1:4" ht="30.75">
      <c r="A23" s="330">
        <v>17</v>
      </c>
      <c r="B23" s="328" t="s">
        <v>643</v>
      </c>
      <c r="C23" s="329" t="s">
        <v>644</v>
      </c>
      <c r="D23" s="384">
        <f>(D21+'2-Отчет за доходите'!C14)/'2-Отчет за доходите'!G31</f>
        <v>0.20539034879627788</v>
      </c>
    </row>
    <row r="24" spans="1:4" ht="30.75">
      <c r="A24" s="330">
        <v>18</v>
      </c>
      <c r="B24" s="328" t="s">
        <v>645</v>
      </c>
      <c r="C24" s="329" t="s">
        <v>646</v>
      </c>
      <c r="D24" s="384">
        <f>('1-Баланс'!G56+'1-Баланс'!G79)/(D21+'2-Отчет за доходите'!C14)</f>
        <v>2.729284649776453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44104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"Спиди" АД</v>
      </c>
      <c r="B4" s="81" t="str">
        <f t="shared" si="1"/>
        <v>131371780</v>
      </c>
      <c r="C4" s="319">
        <f t="shared" si="2"/>
        <v>44104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45598</v>
      </c>
    </row>
    <row r="5" spans="1:8" ht="15">
      <c r="A5" s="81" t="str">
        <f t="shared" si="0"/>
        <v>"Спиди" АД</v>
      </c>
      <c r="B5" s="81" t="str">
        <f t="shared" si="1"/>
        <v>131371780</v>
      </c>
      <c r="C5" s="319">
        <f t="shared" si="2"/>
        <v>44104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6481</v>
      </c>
    </row>
    <row r="6" spans="1:8" ht="15">
      <c r="A6" s="81" t="str">
        <f t="shared" si="0"/>
        <v>"Спиди" АД</v>
      </c>
      <c r="B6" s="81" t="str">
        <f t="shared" si="1"/>
        <v>131371780</v>
      </c>
      <c r="C6" s="319">
        <f t="shared" si="2"/>
        <v>44104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"Спиди" АД</v>
      </c>
      <c r="B7" s="81" t="str">
        <f t="shared" si="1"/>
        <v>131371780</v>
      </c>
      <c r="C7" s="319">
        <f t="shared" si="2"/>
        <v>44104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24089</v>
      </c>
    </row>
    <row r="8" spans="1:8" ht="15">
      <c r="A8" s="81" t="str">
        <f t="shared" si="0"/>
        <v>"Спиди" АД</v>
      </c>
      <c r="B8" s="81" t="str">
        <f t="shared" si="1"/>
        <v>131371780</v>
      </c>
      <c r="C8" s="319">
        <f t="shared" si="2"/>
        <v>44104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">
      <c r="A9" s="81" t="str">
        <f t="shared" si="0"/>
        <v>"Спиди" АД</v>
      </c>
      <c r="B9" s="81" t="str">
        <f t="shared" si="1"/>
        <v>131371780</v>
      </c>
      <c r="C9" s="319">
        <f t="shared" si="2"/>
        <v>44104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44104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8920</v>
      </c>
    </row>
    <row r="11" spans="1:8" ht="1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44104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85088</v>
      </c>
    </row>
    <row r="12" spans="1:8" ht="1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44104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44104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44104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14169</v>
      </c>
    </row>
    <row r="15" spans="1:8" ht="1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44104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5594</v>
      </c>
    </row>
    <row r="16" spans="1:8" ht="1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44104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44104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18621</v>
      </c>
    </row>
    <row r="18" spans="1:8" ht="1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44104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38384</v>
      </c>
    </row>
    <row r="19" spans="1:8" ht="1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44104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44104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44104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44104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44104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44104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44104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44104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44104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44104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44104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44104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44104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44104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44104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44104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44104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44104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44104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971</v>
      </c>
    </row>
    <row r="38" spans="1:8" ht="1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44104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971</v>
      </c>
    </row>
    <row r="39" spans="1:8" ht="1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44104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44104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492</v>
      </c>
    </row>
    <row r="41" spans="1:8" ht="1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44104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124935</v>
      </c>
    </row>
    <row r="42" spans="1:8" ht="1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44104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545</v>
      </c>
    </row>
    <row r="43" spans="1:8" ht="1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44104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44104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44104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44104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44104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44104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545</v>
      </c>
    </row>
    <row r="49" spans="1:8" ht="1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44104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1058</v>
      </c>
    </row>
    <row r="50" spans="1:8" ht="1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44104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26888</v>
      </c>
    </row>
    <row r="51" spans="1:8" ht="1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44104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44104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44104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44104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581</v>
      </c>
    </row>
    <row r="55" spans="1:8" ht="1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44104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44104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3350</v>
      </c>
    </row>
    <row r="57" spans="1:8" ht="1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44104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31877</v>
      </c>
    </row>
    <row r="58" spans="1:8" ht="1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44104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44104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44104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44104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44104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44104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44104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44104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388</v>
      </c>
    </row>
    <row r="66" spans="1:8" ht="1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44104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21254</v>
      </c>
    </row>
    <row r="67" spans="1:8" ht="1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44104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44104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44104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21642</v>
      </c>
    </row>
    <row r="70" spans="1:8" ht="1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44104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44104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54064</v>
      </c>
    </row>
    <row r="72" spans="1:8" ht="1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44104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178999</v>
      </c>
    </row>
    <row r="73" spans="1:8" ht="1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44104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44104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 ht="1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44104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44104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44104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44104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44104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44104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44104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44104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-163</v>
      </c>
    </row>
    <row r="83" spans="1:8" ht="1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44104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 ht="1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44104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44104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-701</v>
      </c>
    </row>
    <row r="86" spans="1:8" ht="1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44104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19402</v>
      </c>
    </row>
    <row r="87" spans="1:8" ht="1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44104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24816</v>
      </c>
    </row>
    <row r="88" spans="1:8" ht="1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44104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24816</v>
      </c>
    </row>
    <row r="89" spans="1:8" ht="1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44104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44104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44104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19522</v>
      </c>
    </row>
    <row r="92" spans="1:8" ht="1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44104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44104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44338</v>
      </c>
    </row>
    <row r="94" spans="1:8" ht="1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44104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69118</v>
      </c>
    </row>
    <row r="95" spans="1:8" ht="1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44104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44104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44104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49822</v>
      </c>
    </row>
    <row r="98" spans="1:8" ht="1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44104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44104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44104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44104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1760</v>
      </c>
    </row>
    <row r="102" spans="1:8" ht="1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44104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51582</v>
      </c>
    </row>
    <row r="103" spans="1:8" ht="1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44104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173</v>
      </c>
    </row>
    <row r="104" spans="1:8" ht="1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44104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44104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1858</v>
      </c>
    </row>
    <row r="106" spans="1:8" ht="1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44104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44104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53613</v>
      </c>
    </row>
    <row r="108" spans="1:8" ht="1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44104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19918</v>
      </c>
    </row>
    <row r="109" spans="1:8" ht="1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44104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44104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29386</v>
      </c>
    </row>
    <row r="111" spans="1:8" ht="1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44104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680</v>
      </c>
    </row>
    <row r="112" spans="1:8" ht="1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44104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44104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18738</v>
      </c>
    </row>
    <row r="114" spans="1:8" ht="1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44104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44104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5104</v>
      </c>
    </row>
    <row r="116" spans="1:8" ht="1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44104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2017</v>
      </c>
    </row>
    <row r="117" spans="1:8" ht="1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44104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2847</v>
      </c>
    </row>
    <row r="118" spans="1:8" ht="1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44104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6926</v>
      </c>
    </row>
    <row r="119" spans="1:8" ht="1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44104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44104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56230</v>
      </c>
    </row>
    <row r="121" spans="1:8" ht="1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44104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44104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44104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38</v>
      </c>
    </row>
    <row r="124" spans="1:8" ht="1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44104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56268</v>
      </c>
    </row>
    <row r="125" spans="1:8" ht="1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44104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178999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44104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7274</v>
      </c>
    </row>
    <row r="128" spans="1:8" ht="1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44104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102902</v>
      </c>
    </row>
    <row r="129" spans="1:8" ht="1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44104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16382</v>
      </c>
    </row>
    <row r="130" spans="1:8" ht="1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44104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33367</v>
      </c>
    </row>
    <row r="131" spans="1:8" ht="1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44104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8510</v>
      </c>
    </row>
    <row r="132" spans="1:8" ht="1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44104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44104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44104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3627</v>
      </c>
    </row>
    <row r="135" spans="1:8" ht="1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44104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44104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44104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172062</v>
      </c>
    </row>
    <row r="138" spans="1:8" ht="1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44104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1742</v>
      </c>
    </row>
    <row r="139" spans="1:8" ht="1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44104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44104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77</v>
      </c>
    </row>
    <row r="141" spans="1:8" ht="1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44104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44104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1819</v>
      </c>
    </row>
    <row r="143" spans="1:8" ht="1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44104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173881</v>
      </c>
    </row>
    <row r="144" spans="1:8" ht="1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44104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22136</v>
      </c>
    </row>
    <row r="145" spans="1:8" ht="1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44104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44104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44104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173881</v>
      </c>
    </row>
    <row r="148" spans="1:8" ht="1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44104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22136</v>
      </c>
    </row>
    <row r="149" spans="1:8" ht="1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44104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2614</v>
      </c>
    </row>
    <row r="150" spans="1:8" ht="1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44104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2614</v>
      </c>
    </row>
    <row r="151" spans="1:8" ht="1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44104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44104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44104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19522</v>
      </c>
    </row>
    <row r="154" spans="1:8" ht="1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44104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44104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19522</v>
      </c>
    </row>
    <row r="156" spans="1:8" ht="1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44104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196017</v>
      </c>
    </row>
    <row r="157" spans="1:8" ht="1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44104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44104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44104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189227</v>
      </c>
    </row>
    <row r="160" spans="1:8" ht="1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44104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6699</v>
      </c>
    </row>
    <row r="161" spans="1:8" ht="1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44104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195926</v>
      </c>
    </row>
    <row r="162" spans="1:8" ht="1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44104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91</v>
      </c>
    </row>
    <row r="163" spans="1:8" ht="1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44104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91</v>
      </c>
    </row>
    <row r="164" spans="1:8" ht="1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44104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44104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44104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44104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44104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44104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44104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196017</v>
      </c>
    </row>
    <row r="171" spans="1:8" ht="1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44104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44104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44104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44104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196017</v>
      </c>
    </row>
    <row r="175" spans="1:8" ht="1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44104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44104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44104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44104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44104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196017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44104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236997</v>
      </c>
    </row>
    <row r="182" spans="1:8" ht="1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44104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-153468</v>
      </c>
    </row>
    <row r="183" spans="1:8" ht="1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44104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44104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-40289</v>
      </c>
    </row>
    <row r="185" spans="1:8" ht="1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44104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-11765</v>
      </c>
    </row>
    <row r="186" spans="1:8" ht="1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44104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-2244</v>
      </c>
    </row>
    <row r="187" spans="1:8" ht="1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44104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44104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44104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-490</v>
      </c>
    </row>
    <row r="190" spans="1:8" ht="1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44104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4815</v>
      </c>
    </row>
    <row r="191" spans="1:8" ht="1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44104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33556</v>
      </c>
    </row>
    <row r="192" spans="1:8" ht="1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44104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-4193</v>
      </c>
    </row>
    <row r="193" spans="1:8" ht="1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44104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228</v>
      </c>
    </row>
    <row r="194" spans="1:8" ht="1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44104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44104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44104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44104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-4133</v>
      </c>
    </row>
    <row r="198" spans="1:8" ht="1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44104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44104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44104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44104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44104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-8098</v>
      </c>
    </row>
    <row r="203" spans="1:8" ht="1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44104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44104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44104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44104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-1474</v>
      </c>
    </row>
    <row r="207" spans="1:8" ht="1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44104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-7049</v>
      </c>
    </row>
    <row r="208" spans="1:8" ht="1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44104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-757</v>
      </c>
    </row>
    <row r="209" spans="1:8" ht="1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44104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-10732</v>
      </c>
    </row>
    <row r="210" spans="1:8" ht="1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44104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44104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-20012</v>
      </c>
    </row>
    <row r="212" spans="1:8" ht="1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44104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5446</v>
      </c>
    </row>
    <row r="213" spans="1:8" ht="1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44104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16196</v>
      </c>
    </row>
    <row r="214" spans="1:8" ht="1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44104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21642</v>
      </c>
    </row>
    <row r="215" spans="1:8" ht="1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44104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44104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44104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5378</v>
      </c>
    </row>
    <row r="219" spans="1:8" ht="1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44104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44104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44104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44104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5378</v>
      </c>
    </row>
    <row r="223" spans="1:8" ht="1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44104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44104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44104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44104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44104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44104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44104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44104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44104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44104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44104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44104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44104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44104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 ht="1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44104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44104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44104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 ht="1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44104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44104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44104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44104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44104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44104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44104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44104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44104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44104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44104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44104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44104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44104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44104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44104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44104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44104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44104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44104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44104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44104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44104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44104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44104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44104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44104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44104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44104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44104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44104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44104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44104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44104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44104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44104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44104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44104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44104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44104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44104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44104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44104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44104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44104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538</v>
      </c>
    </row>
    <row r="285" spans="1:8" ht="1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44104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44104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44104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44104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538</v>
      </c>
    </row>
    <row r="289" spans="1:8" ht="1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44104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44104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44104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44104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44104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44104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44104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44104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44104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44104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44104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44104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44104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44104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538</v>
      </c>
    </row>
    <row r="303" spans="1:8" ht="1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44104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44104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44104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538</v>
      </c>
    </row>
    <row r="306" spans="1:8" ht="1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44104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44104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44104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44104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44104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44104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44104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44104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44104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44104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44104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44104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44104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44104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44104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44104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44104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44104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44104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44104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44104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44104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44104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-1146</v>
      </c>
    </row>
    <row r="329" spans="1:8" ht="1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44104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44104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44104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44104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-1146</v>
      </c>
    </row>
    <row r="333" spans="1:8" ht="1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44104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44104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44104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44104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44104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44104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44104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44104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44104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44104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44104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44104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44104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445</v>
      </c>
    </row>
    <row r="346" spans="1:8" ht="1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44104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-701</v>
      </c>
    </row>
    <row r="347" spans="1:8" ht="1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44104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44104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44104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-701</v>
      </c>
    </row>
    <row r="350" spans="1:8" ht="1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44104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35571</v>
      </c>
    </row>
    <row r="351" spans="1:8" ht="1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44104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44104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44104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44104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35571</v>
      </c>
    </row>
    <row r="355" spans="1:8" ht="1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44104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19522</v>
      </c>
    </row>
    <row r="356" spans="1:8" ht="1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44104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-10755</v>
      </c>
    </row>
    <row r="357" spans="1:8" ht="1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44104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-10755</v>
      </c>
    </row>
    <row r="358" spans="1:8" ht="1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44104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44104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44104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44104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44104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44104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44104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44104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44104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44104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44104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44338</v>
      </c>
    </row>
    <row r="369" spans="1:8" ht="1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44104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44104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44104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44338</v>
      </c>
    </row>
    <row r="372" spans="1:8" ht="1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44104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44104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44104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44104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44104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44104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44104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44104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44104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44104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44104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44104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44104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44104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44104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44104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44104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44104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44104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44104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44104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44104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44104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44104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44104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44104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44104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44104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44104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44104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44104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44104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44104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44104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44104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44104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44104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44104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44104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44104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44104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44104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44104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44104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44104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59906</v>
      </c>
    </row>
    <row r="417" spans="1:8" ht="1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44104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44104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44104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44104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59906</v>
      </c>
    </row>
    <row r="421" spans="1:8" ht="1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44104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19522</v>
      </c>
    </row>
    <row r="422" spans="1:8" ht="1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44104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-10755</v>
      </c>
    </row>
    <row r="423" spans="1:8" ht="1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44104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-10755</v>
      </c>
    </row>
    <row r="424" spans="1:8" ht="1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44104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44104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44104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44104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44104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44104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44104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44104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44104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44104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445</v>
      </c>
    </row>
    <row r="434" spans="1:8" ht="1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44104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69118</v>
      </c>
    </row>
    <row r="435" spans="1:8" ht="1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44104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44104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44104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69118</v>
      </c>
    </row>
    <row r="438" spans="1:8" ht="1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44104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44104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44104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44104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44104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44104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44104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44104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44104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44104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44104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44104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44104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44104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44104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44104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44104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44104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44104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44104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44104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44104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2020-11-13T09:54:23Z</cp:lastPrinted>
  <dcterms:created xsi:type="dcterms:W3CDTF">2006-09-16T00:00:00Z</dcterms:created>
  <dcterms:modified xsi:type="dcterms:W3CDTF">2020-11-13T15:22:19Z</dcterms:modified>
  <cp:category/>
  <cp:version/>
  <cp:contentType/>
  <cp:contentStatus/>
</cp:coreProperties>
</file>