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745" windowWidth="10800" windowHeight="3450" tabRatio="79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G64" i="1" l="1"/>
  <c r="D13" i="2"/>
  <c r="D12" i="2"/>
  <c r="D41" i="3" l="1"/>
  <c r="C10" i="3"/>
  <c r="C36" i="3"/>
  <c r="C38" i="3" l="1"/>
  <c r="C13" i="3"/>
  <c r="H11" i="2" l="1"/>
  <c r="G11" i="2"/>
  <c r="C25" i="2" l="1"/>
  <c r="C58" i="1" l="1"/>
  <c r="C16" i="1" l="1"/>
  <c r="C68" i="1"/>
  <c r="C67" i="1"/>
  <c r="C41" i="3" l="1"/>
  <c r="C19" i="2" l="1"/>
  <c r="H27" i="1"/>
  <c r="H33" i="1" s="1"/>
  <c r="G27" i="1"/>
  <c r="H21" i="1"/>
  <c r="H25" i="1" s="1"/>
  <c r="G21" i="1"/>
  <c r="G25" i="1" s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 s="1"/>
  <c r="D17" i="5"/>
  <c r="D25" i="5"/>
  <c r="D27" i="5"/>
  <c r="D32" i="5"/>
  <c r="G32" i="5" s="1"/>
  <c r="J32" i="5" s="1"/>
  <c r="E17" i="5"/>
  <c r="E25" i="5"/>
  <c r="E27" i="5"/>
  <c r="E38" i="5" s="1"/>
  <c r="E32" i="5"/>
  <c r="F17" i="5"/>
  <c r="F25" i="5"/>
  <c r="F27" i="5"/>
  <c r="F38" i="5" s="1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K17" i="5"/>
  <c r="K25" i="5"/>
  <c r="K27" i="5"/>
  <c r="K32" i="5"/>
  <c r="N32" i="5" s="1"/>
  <c r="Q32" i="5" s="1"/>
  <c r="L17" i="5"/>
  <c r="L25" i="5"/>
  <c r="L27" i="5"/>
  <c r="L32" i="5"/>
  <c r="M17" i="5"/>
  <c r="M25" i="5"/>
  <c r="M27" i="5"/>
  <c r="M32" i="5"/>
  <c r="M38" i="5"/>
  <c r="N18" i="5"/>
  <c r="Q18" i="5" s="1"/>
  <c r="R18" i="5" s="1"/>
  <c r="N19" i="5"/>
  <c r="O17" i="5"/>
  <c r="O25" i="5"/>
  <c r="O27" i="5"/>
  <c r="O32" i="5"/>
  <c r="O38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R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G22" i="5"/>
  <c r="J22" i="5" s="1"/>
  <c r="G23" i="5"/>
  <c r="J23" i="5" s="1"/>
  <c r="G24" i="5"/>
  <c r="J24" i="5" s="1"/>
  <c r="G16" i="5"/>
  <c r="J16" i="5" s="1"/>
  <c r="J21" i="5"/>
  <c r="R21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G13" i="5"/>
  <c r="J13" i="5" s="1"/>
  <c r="G14" i="5"/>
  <c r="J14" i="5" s="1"/>
  <c r="G9" i="5"/>
  <c r="J9" i="5" s="1"/>
  <c r="J10" i="5"/>
  <c r="N10" i="5"/>
  <c r="Q10" i="5" s="1"/>
  <c r="R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1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L17" i="4" l="1"/>
  <c r="C43" i="6"/>
  <c r="C44" i="6" s="1"/>
  <c r="R23" i="5"/>
  <c r="G25" i="5"/>
  <c r="J25" i="5" s="1"/>
  <c r="R28" i="5"/>
  <c r="R12" i="5"/>
  <c r="R14" i="5"/>
  <c r="R11" i="5"/>
  <c r="R24" i="5"/>
  <c r="R22" i="5"/>
  <c r="E90" i="6"/>
  <c r="E85" i="6" s="1"/>
  <c r="R32" i="5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R25" i="5" l="1"/>
  <c r="L15" i="4"/>
  <c r="N38" i="5"/>
  <c r="Q38" i="5" s="1"/>
  <c r="F149" i="8"/>
  <c r="E43" i="6"/>
  <c r="E44" i="6" s="1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C94" i="1"/>
  <c r="G30" i="2"/>
  <c r="C30" i="2"/>
  <c r="C39" i="2"/>
  <c r="C34" i="2"/>
  <c r="R27" i="5"/>
  <c r="G40" i="5"/>
  <c r="J17" i="5"/>
  <c r="G34" i="2"/>
  <c r="Q40" i="5"/>
  <c r="K40" i="5"/>
  <c r="D39" i="2"/>
  <c r="D34" i="2"/>
  <c r="N40" i="5"/>
  <c r="C42" i="2" l="1"/>
  <c r="G31" i="1"/>
  <c r="H39" i="2"/>
  <c r="H42" i="2" s="1"/>
  <c r="J40" i="5"/>
  <c r="R17" i="5"/>
  <c r="R40" i="5" s="1"/>
  <c r="D42" i="2"/>
  <c r="G39" i="2"/>
  <c r="G41" i="2" s="1"/>
  <c r="I16" i="4" l="1"/>
  <c r="G33" i="1"/>
  <c r="G36" i="1" s="1"/>
  <c r="G94" i="1" s="1"/>
  <c r="H41" i="2"/>
  <c r="D41" i="2"/>
  <c r="G42" i="2"/>
  <c r="C41" i="2"/>
  <c r="L16" i="4" l="1"/>
  <c r="I29" i="4"/>
  <c r="I32" i="4" l="1"/>
  <c r="L32" i="4" s="1"/>
  <c r="L29" i="4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<sst xmlns="http://schemas.openxmlformats.org/spreadsheetml/2006/main" count="1061" uniqueCount="874">
  <si>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</si>
  <si>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</si>
  <si>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</si>
  <si>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</si>
  <si>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</si>
  <si>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</si>
  <si>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</si>
  <si>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</si>
  <si>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</si>
  <si>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</si>
  <si>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</si>
  <si>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</si>
  <si>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</si>
  <si>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</si>
  <si>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</si>
  <si>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</si>
  <si>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</si>
  <si>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</si>
  <si>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</si>
  <si>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</si>
  <si>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</si>
  <si>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</si>
  <si>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</si>
  <si>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</si>
  <si>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</si>
  <si>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</si>
  <si>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</si>
  <si>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</si>
  <si>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</si>
  <si>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</si>
  <si>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</si>
  <si>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</si>
  <si>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</si>
  <si>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</si>
  <si>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</si>
  <si>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</si>
  <si>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</si>
  <si>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</si>
  <si>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</si>
  <si>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</si>
  <si>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</si>
  <si>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</si>
  <si>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</si>
  <si>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</si>
  <si>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</si>
  <si>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</si>
  <si>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</si>
  <si>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</si>
  <si>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</si>
  <si>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</si>
  <si>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</si>
  <si>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</si>
  <si>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</si>
  <si>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</si>
  <si>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</si>
  <si>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</si>
  <si>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</si>
  <si>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</si>
  <si>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</si>
  <si>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</si>
  <si>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</si>
  <si>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</si>
  <si>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</si>
  <si>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</si>
  <si>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</si>
  <si>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</si>
  <si>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</si>
  <si>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</si>
  <si>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</si>
  <si>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</si>
  <si>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</si>
  <si>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</si>
  <si>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</si>
  <si>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</si>
  <si>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</si>
  <si>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</si>
  <si>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</si>
  <si>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</si>
  <si>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</si>
  <si>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</si>
  <si>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</si>
  <si>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</si>
  <si>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</si>
  <si>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</si>
  <si>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</si>
  <si>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</si>
  <si>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</si>
  <si>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</si>
  <si>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</si>
  <si>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</si>
  <si>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</si>
  <si>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</si>
  <si>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</si>
  <si>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</si>
  <si>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</si>
  <si>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</si>
  <si>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</si>
  <si>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</si>
  <si>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</si>
  <si>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</si>
  <si>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</si>
  <si>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</si>
  <si>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</si>
  <si>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</si>
  <si>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</si>
  <si>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</si>
  <si>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</si>
  <si>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</si>
  <si>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</si>
  <si>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</si>
  <si>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</si>
  <si>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</si>
  <si>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</si>
  <si>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</si>
  <si>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</si>
  <si>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</si>
  <si>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</si>
  <si>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</si>
  <si>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</si>
  <si>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</si>
  <si>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</si>
  <si>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</si>
  <si>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</si>
  <si>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</si>
  <si>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</si>
  <si>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</si>
  <si>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</si>
  <si>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</si>
  <si>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</si>
  <si>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</si>
  <si>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</si>
  <si>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</si>
  <si>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</si>
  <si>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</si>
  <si>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</si>
  <si>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</si>
  <si>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</si>
  <si>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</si>
  <si>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</si>
  <si>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</si>
  <si>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</si>
  <si>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</si>
  <si>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</si>
  <si>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</si>
  <si>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</si>
  <si>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</si>
  <si>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</si>
  <si>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</si>
  <si>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</si>
  <si>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</si>
  <si>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</si>
  <si>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</si>
  <si>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</si>
  <si>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</si>
  <si>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</si>
  <si>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</si>
  <si>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</si>
  <si>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</si>
  <si>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</si>
  <si>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</si>
  <si>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</si>
  <si>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</si>
  <si>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</si>
  <si>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</si>
  <si>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</si>
  <si>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</si>
  <si>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</si>
  <si>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</si>
  <si>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</si>
  <si>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</si>
  <si>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</si>
  <si>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</si>
  <si>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</si>
  <si>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</si>
  <si>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</si>
  <si>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</si>
  <si>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</si>
  <si>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</si>
  <si>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</si>
  <si>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</si>
  <si>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</si>
  <si>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</si>
  <si>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</si>
  <si>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</si>
  <si>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</si>
  <si>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</si>
  <si>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</si>
  <si>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</si>
  <si>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</si>
  <si>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</si>
  <si>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</si>
  <si>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</si>
  <si>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</si>
  <si>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</si>
  <si>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</si>
  <si>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</si>
  <si>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</si>
  <si>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</si>
  <si>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</si>
  <si>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</si>
  <si>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</si>
  <si>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</si>
  <si>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</si>
  <si>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</si>
  <si>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</si>
  <si>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</si>
  <si>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</si>
  <si>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</si>
  <si>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</si>
  <si>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</si>
  <si>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</si>
  <si>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</si>
  <si>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</si>
  <si>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</si>
  <si>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</si>
  <si>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</si>
  <si>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</si>
  <si>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</si>
  <si>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</si>
  <si>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</si>
  <si>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</si>
  <si>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</si>
  <si>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</si>
  <si>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</si>
  <si>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</si>
  <si>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</si>
  <si>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</si>
  <si>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</si>
  <si>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</si>
  <si>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</si>
  <si>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</si>
  <si>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</si>
  <si>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</si>
  <si>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</si>
  <si>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</si>
  <si>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</si>
  <si>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</si>
  <si>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</si>
  <si>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</si>
  <si>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</si>
  <si>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</si>
  <si>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</si>
  <si>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</si>
  <si>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</si>
  <si>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</si>
  <si>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</si>
  <si>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</si>
  <si>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</si>
  <si>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</si>
  <si>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</si>
  <si>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</si>
  <si>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</si>
  <si>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</si>
  <si>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</si>
  <si>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</si>
  <si>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</si>
  <si>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</si>
  <si>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</si>
  <si>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</si>
  <si>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</si>
  <si>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</si>
  <si>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</si>
  <si>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</si>
  <si>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</si>
  <si>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</si>
  <si>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</si>
  <si>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</si>
  <si>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</si>
  <si>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</si>
  <si>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</si>
  <si>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</si>
  <si>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</si>
  <si>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</si>
  <si>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</si>
  <si>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</si>
  <si>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</si>
  <si>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</si>
  <si>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</si>
  <si>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</si>
  <si>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</si>
  <si>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</si>
  <si>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</si>
  <si>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</si>
  <si>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</si>
  <si>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</si>
  <si>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</si>
  <si>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</si>
  <si>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</si>
  <si>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</si>
  <si>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</si>
  <si>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</si>
  <si>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</si>
  <si>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</si>
  <si>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</si>
  <si>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</si>
  <si>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</si>
  <si>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</si>
  <si>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</si>
  <si>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</si>
  <si>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</si>
  <si>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</si>
  <si>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</si>
  <si>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</si>
  <si>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</si>
  <si>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</si>
  <si>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</si>
  <si>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</si>
  <si>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</si>
  <si>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</si>
  <si>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</si>
  <si>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</si>
  <si>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</si>
  <si>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</si>
  <si>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</si>
  <si>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</si>
  <si>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</si>
  <si>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</si>
  <si>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</si>
  <si>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</si>
  <si>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</si>
  <si>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</si>
  <si>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</si>
  <si>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</si>
  <si>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</si>
  <si>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</si>
  <si>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</si>
  <si>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</si>
  <si>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</si>
  <si>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</si>
  <si>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</si>
  <si>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</si>
  <si>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</si>
  <si>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</si>
  <si>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</si>
  <si>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</si>
  <si>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</si>
  <si>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</si>
  <si>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</si>
  <si>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</si>
  <si>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</si>
  <si>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</si>
  <si>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</si>
  <si>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</si>
  <si>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</si>
  <si>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</si>
  <si>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</si>
  <si>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</si>
  <si>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</si>
  <si>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</si>
  <si>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</si>
  <si>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</si>
  <si>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</si>
  <si>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</si>
  <si>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</si>
  <si>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</si>
  <si>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</si>
  <si>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</si>
  <si>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</si>
  <si>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</si>
  <si>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</si>
  <si>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</si>
  <si>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</si>
  <si>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</si>
  <si>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</si>
  <si>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</si>
  <si>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</si>
  <si>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</si>
  <si>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</si>
  <si>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</si>
  <si>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</si>
  <si>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</si>
  <si>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</si>
  <si>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</si>
  <si>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</si>
  <si>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</si>
  <si>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</si>
  <si>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</si>
  <si>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</si>
  <si>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</si>
  <si>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</si>
  <si>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</si>
  <si>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</si>
  <si>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</si>
  <si>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</si>
  <si>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</si>
  <si>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</si>
  <si>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</si>
  <si>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</si>
  <si>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</si>
  <si>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</si>
  <si>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</si>
  <si>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</si>
  <si>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</si>
  <si>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</si>
  <si>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</si>
  <si>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</si>
  <si>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</si>
  <si>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</si>
  <si>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</si>
  <si>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</si>
  <si>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</si>
  <si>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</si>
  <si>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</si>
  <si>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</si>
  <si>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</si>
  <si>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</si>
  <si>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</si>
  <si>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</si>
  <si>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</si>
  <si>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</si>
  <si>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</si>
  <si>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</si>
  <si>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</si>
  <si>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</si>
  <si>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</si>
  <si>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</si>
  <si>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</si>
  <si>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</si>
  <si>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</si>
  <si>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</si>
  <si>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</si>
  <si>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</si>
  <si>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</si>
  <si>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</si>
  <si>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</si>
  <si>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</si>
  <si>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</si>
  <si>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</si>
  <si>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</si>
  <si>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</si>
  <si>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</si>
  <si>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</si>
  <si>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</si>
  <si>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</si>
  <si>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</si>
  <si>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</si>
  <si>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</si>
  <si>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</si>
  <si>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</si>
  <si>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</si>
  <si>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</si>
  <si>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</si>
  <si>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</si>
  <si>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</si>
  <si>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</si>
  <si>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</si>
  <si>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</si>
  <si>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</si>
  <si>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</si>
  <si>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</si>
  <si>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</si>
  <si>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</si>
  <si>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</si>
  <si>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</si>
  <si>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</si>
  <si>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</si>
  <si>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</si>
  <si>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</si>
  <si>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</si>
  <si>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</si>
  <si>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</si>
  <si>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</si>
  <si>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</si>
  <si>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</si>
  <si>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</si>
  <si>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</si>
  <si>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</si>
  <si>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</si>
  <si>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</si>
  <si>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</si>
  <si>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</si>
  <si>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</si>
  <si>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</si>
  <si>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</si>
  <si>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</si>
  <si>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</si>
  <si>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</si>
  <si>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</si>
  <si>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</si>
  <si>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</si>
  <si>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</si>
  <si>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</si>
  <si>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</si>
  <si>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</si>
  <si>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</si>
  <si>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</si>
  <si>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</si>
  <si>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</si>
  <si>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</si>
  <si>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</si>
  <si>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</si>
  <si>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</si>
  <si>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</si>
  <si>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</si>
  <si>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</si>
  <si>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</si>
  <si>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</si>
  <si>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</si>
  <si>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</si>
  <si>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</si>
  <si>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</si>
  <si>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</si>
  <si>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</si>
  <si>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</si>
  <si>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</si>
  <si>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</si>
  <si>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</si>
  <si>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</si>
  <si>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</si>
  <si>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</si>
  <si>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</si>
  <si>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</si>
  <si>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</si>
  <si>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</si>
  <si>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</si>
  <si>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</si>
  <si>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</si>
  <si>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</si>
  <si>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</si>
  <si>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</si>
  <si>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</si>
  <si>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</si>
  <si>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</si>
  <si>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</si>
  <si>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</si>
  <si>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</si>
  <si>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</si>
  <si>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</si>
  <si>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</si>
  <si>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</si>
  <si>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</si>
  <si>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</si>
  <si>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</si>
  <si>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</si>
  <si>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</si>
  <si>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</si>
  <si>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</si>
  <si>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</si>
  <si>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</si>
  <si>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</si>
  <si>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</si>
  <si>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</si>
  <si>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</si>
  <si>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</si>
  <si>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</si>
  <si>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</si>
  <si>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</si>
  <si>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</si>
  <si>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</si>
  <si>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</si>
  <si>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</si>
  <si>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</si>
  <si>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</si>
  <si>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</si>
  <si>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</si>
  <si>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</si>
  <si>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</si>
  <si>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</si>
  <si>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</si>
  <si>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</si>
  <si>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</si>
  <si>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</si>
  <si>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</si>
  <si>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</si>
  <si>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</si>
  <si>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</si>
  <si>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</si>
  <si>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</si>
  <si>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</si>
  <si>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</si>
  <si>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</si>
  <si>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</si>
  <si>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</si>
  <si>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</si>
  <si>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</si>
  <si>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</si>
  <si>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</si>
  <si>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</si>
  <si>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</si>
  <si>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</si>
  <si>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</si>
  <si>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</si>
  <si>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</si>
  <si>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</si>
  <si>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</si>
  <si>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</si>
  <si>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</si>
  <si>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</si>
  <si>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</si>
  <si>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</si>
  <si>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</si>
  <si>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</si>
  <si>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</si>
  <si>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</si>
  <si>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</si>
  <si>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</si>
  <si>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</si>
  <si>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</si>
  <si>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</si>
  <si>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</si>
  <si>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</si>
  <si>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</si>
  <si>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</si>
  <si>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</si>
  <si>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</si>
  <si>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</si>
  <si>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</si>
  <si>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</si>
  <si>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</si>
  <si>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</si>
  <si>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</si>
  <si>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</si>
  <si>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</si>
  <si>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</si>
  <si>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</si>
  <si>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</si>
  <si>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</si>
  <si>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</si>
  <si>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</si>
  <si>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</si>
  <si>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</si>
  <si>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</si>
  <si>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</si>
  <si>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</si>
  <si>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</si>
  <si>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</si>
  <si>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</si>
  <si>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</si>
  <si>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</si>
  <si>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</si>
  <si>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</si>
  <si>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</si>
  <si>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</si>
  <si>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</si>
  <si>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</si>
  <si>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</si>
  <si>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</si>
  <si>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</si>
  <si>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</si>
  <si>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</si>
  <si>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</si>
  <si>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</si>
  <si>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</si>
  <si>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</si>
  <si>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</si>
  <si>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</si>
  <si>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</si>
  <si>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</si>
  <si>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</si>
  <si>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</si>
  <si>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</si>
  <si>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</si>
  <si>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</si>
  <si>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</si>
  <si>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</si>
  <si>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</si>
  <si>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</si>
  <si>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</si>
  <si>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</si>
  <si>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</si>
  <si>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</si>
  <si>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</si>
  <si>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</si>
  <si>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</si>
  <si>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</si>
  <si>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</si>
  <si>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</si>
  <si>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</si>
  <si>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</si>
  <si>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</si>
  <si>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</si>
  <si>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</si>
  <si>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</si>
  <si>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</si>
  <si>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</si>
  <si>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</si>
  <si>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</si>
  <si>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</si>
  <si>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</si>
  <si>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</si>
  <si>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</si>
  <si>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</si>
  <si>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</si>
  <si>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</si>
  <si>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</si>
  <si>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</si>
  <si>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</si>
  <si>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</si>
  <si>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</si>
  <si>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</si>
  <si>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</si>
  <si>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</si>
  <si>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</si>
  <si>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</si>
  <si>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</si>
  <si>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</si>
  <si>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</si>
  <si>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</si>
  <si>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</si>
  <si>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</si>
  <si>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</si>
  <si>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</si>
  <si>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</si>
  <si>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</si>
  <si>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</si>
  <si>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</si>
  <si>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</si>
  <si>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</si>
  <si>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</si>
  <si>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</si>
  <si>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</si>
  <si>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</si>
  <si>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</si>
  <si>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</si>
  <si>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</si>
  <si>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</si>
  <si>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</si>
  <si>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</si>
  <si>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</si>
  <si>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</si>
  <si>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</si>
  <si>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</si>
  <si>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</si>
  <si>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</si>
  <si>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</si>
  <si>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</si>
  <si>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</si>
  <si>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</si>
  <si>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</si>
  <si>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</si>
  <si>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</si>
  <si>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</si>
  <si>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</si>
  <si>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</si>
  <si>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</si>
  <si>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</si>
  <si>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</si>
  <si>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</si>
  <si>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</si>
  <si>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</si>
  <si>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</si>
  <si>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</si>
  <si>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</si>
  <si>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</si>
  <si>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</si>
  <si>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</si>
  <si>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</si>
  <si>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</si>
  <si>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</si>
  <si>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</si>
  <si>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</si>
  <si>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</si>
  <si>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</si>
  <si>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</si>
  <si>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</si>
  <si>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</si>
  <si>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</si>
  <si>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</si>
  <si>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</si>
  <si>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</si>
  <si>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</si>
  <si>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</si>
  <si>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</si>
  <si>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</si>
  <si>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</si>
  <si>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</si>
  <si>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</si>
  <si>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</si>
  <si>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</si>
  <si>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</si>
  <si>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</si>
  <si>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</si>
  <si>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</si>
  <si>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</si>
  <si>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</si>
  <si>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</si>
  <si>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</si>
  <si>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</si>
  <si>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</si>
  <si>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</si>
  <si>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</si>
  <si>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</si>
  <si>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</si>
  <si>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</si>
  <si>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</si>
  <si>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</si>
  <si>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</si>
  <si>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</si>
  <si>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</si>
  <si>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</si>
  <si>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</si>
  <si>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</si>
  <si>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</si>
  <si>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</si>
  <si>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</si>
  <si>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</si>
  <si>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</si>
  <si>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</si>
  <si>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</si>
  <si>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</si>
  <si>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</si>
  <si>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</si>
  <si>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</si>
  <si>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</si>
  <si>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</si>
  <si>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</si>
  <si>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</si>
  <si>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</si>
  <si>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</si>
  <si>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</si>
  <si>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</si>
  <si>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</si>
  <si>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</si>
  <si>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</si>
  <si>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</si>
  <si>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</si>
  <si>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</si>
  <si>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</si>
  <si>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</si>
  <si>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</si>
  <si>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</si>
  <si>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</si>
  <si>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</si>
  <si>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</si>
  <si>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</si>
  <si>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</si>
  <si>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</si>
  <si>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</si>
  <si>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</si>
  <si>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</si>
  <si>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</si>
  <si>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</si>
  <si>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</si>
  <si>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</si>
  <si>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</si>
  <si>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</si>
  <si>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</si>
  <si>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</si>
  <si>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</si>
  <si>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</si>
  <si>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</si>
  <si>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</si>
  <si>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</si>
  <si>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</si>
  <si>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</si>
  <si>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</si>
  <si>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</si>
  <si>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</si>
  <si>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</si>
  <si>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</si>
  <si>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</si>
  <si>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</si>
  <si>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</si>
  <si>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</si>
  <si>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</si>
  <si>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</si>
  <si>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</si>
  <si>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</si>
  <si>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</si>
  <si>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</si>
  <si>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</si>
  <si>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</si>
  <si>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</si>
  <si>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</si>
  <si>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</si>
  <si>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</si>
  <si>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</si>
  <si>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</si>
  <si>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</si>
  <si>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</si>
  <si>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</si>
  <si>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</si>
  <si>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</si>
  <si>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01.01.2013-30.06.2013г.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</si>
</sst>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A52" workbookViewId="0">
      <selection activeCell="C21" sqref="C21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348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6862</v>
      </c>
      <c r="D15" s="151">
        <v>5736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361+1255</f>
        <v>1616</v>
      </c>
      <c r="D16" s="151">
        <v>1420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742</v>
      </c>
      <c r="D18" s="151">
        <v>611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9568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348</v>
      </c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447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447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ДОХОДИТЕ'!C39</f>
        <v>5469</v>
      </c>
      <c r="H31" s="152">
        <v>7482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5469</v>
      </c>
      <c r="H33" s="154">
        <f>H27+H31+H32</f>
        <v>7482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10364</v>
      </c>
      <c r="H36" s="154">
        <f>H25+H17+H33</f>
        <v>9312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4189</v>
      </c>
      <c r="H44" s="152">
        <v>3439</v>
      </c>
    </row>
    <row r="45" spans="1:18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4189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135</v>
      </c>
      <c r="D54" s="151">
        <v>135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11132</v>
      </c>
      <c r="D55" s="155">
        <f>D19+D20+D21+D27+D32+D45+D51+D53+D54</f>
        <v>9618</v>
      </c>
      <c r="E55" s="237" t="s">
        <v>172</v>
      </c>
      <c r="F55" s="261" t="s">
        <v>173</v>
      </c>
      <c r="G55" s="154">
        <f>G49+G51+G52+G53+G54</f>
        <v>4189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f>531+94</f>
        <v>625</v>
      </c>
      <c r="D58" s="151">
        <v>556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2002</v>
      </c>
      <c r="H59" s="152">
        <v>2399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6791</v>
      </c>
      <c r="H61" s="154">
        <f>SUM(H62:H68)</f>
        <v>7325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2837</v>
      </c>
      <c r="H62" s="152">
        <v>3969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625</v>
      </c>
      <c r="D64" s="155">
        <f>SUM(D58:D63)</f>
        <v>556</v>
      </c>
      <c r="E64" s="237" t="s">
        <v>200</v>
      </c>
      <c r="F64" s="242" t="s">
        <v>201</v>
      </c>
      <c r="G64" s="152">
        <f>528+9894-2837-4189+1387-1846</f>
        <v>2937</v>
      </c>
      <c r="H64" s="152">
        <v>2068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>
        <v>224</v>
      </c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592</v>
      </c>
      <c r="H66" s="152">
        <v>587</v>
      </c>
    </row>
    <row r="67" spans="1:18" ht="15">
      <c r="A67" s="235" t="s">
        <v>207</v>
      </c>
      <c r="B67" s="241" t="s">
        <v>208</v>
      </c>
      <c r="C67" s="151">
        <f>800+2652</f>
        <v>3452</v>
      </c>
      <c r="D67" s="151">
        <v>5157</v>
      </c>
      <c r="E67" s="237" t="s">
        <v>209</v>
      </c>
      <c r="F67" s="242" t="s">
        <v>210</v>
      </c>
      <c r="G67" s="152">
        <v>145</v>
      </c>
      <c r="H67" s="152">
        <v>174</v>
      </c>
    </row>
    <row r="68" spans="1:18" ht="15">
      <c r="A68" s="235" t="s">
        <v>211</v>
      </c>
      <c r="B68" s="241" t="s">
        <v>212</v>
      </c>
      <c r="C68" s="151">
        <f>4334+3710-961</f>
        <v>7083</v>
      </c>
      <c r="D68" s="151">
        <v>6447</v>
      </c>
      <c r="E68" s="237" t="s">
        <v>213</v>
      </c>
      <c r="F68" s="242" t="s">
        <v>214</v>
      </c>
      <c r="G68" s="152">
        <v>236</v>
      </c>
      <c r="H68" s="152">
        <v>303</v>
      </c>
    </row>
    <row r="69" spans="1:18" ht="15">
      <c r="A69" s="235" t="s">
        <v>215</v>
      </c>
      <c r="B69" s="241" t="s">
        <v>216</v>
      </c>
      <c r="C69" s="151">
        <v>416</v>
      </c>
      <c r="D69" s="151">
        <v>356</v>
      </c>
      <c r="E69" s="251" t="s">
        <v>78</v>
      </c>
      <c r="F69" s="242" t="s">
        <v>217</v>
      </c>
      <c r="G69" s="152">
        <v>645</v>
      </c>
      <c r="H69" s="152">
        <v>3917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9438</v>
      </c>
      <c r="H71" s="161">
        <f>H59+H60+H61+H69+H70</f>
        <v>13641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22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10973</v>
      </c>
      <c r="D75" s="155">
        <f>SUM(D67:D74)</f>
        <v>11996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9438</v>
      </c>
      <c r="H79" s="162">
        <f>H71+H74+H75+H76</f>
        <v>13641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824</v>
      </c>
      <c r="D87" s="151">
        <v>3919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824</v>
      </c>
      <c r="D91" s="155">
        <f>SUM(D87:D90)</f>
        <v>3919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437</v>
      </c>
      <c r="D92" s="151">
        <v>303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12859</v>
      </c>
      <c r="D93" s="155">
        <f>D64+D75+D84+D91+D92</f>
        <v>16774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23991</v>
      </c>
      <c r="D94" s="164">
        <f>D93+D55</f>
        <v>26392</v>
      </c>
      <c r="E94" s="449" t="s">
        <v>270</v>
      </c>
      <c r="F94" s="289" t="s">
        <v>271</v>
      </c>
      <c r="G94" s="165">
        <f>G36+G39+G55+G79</f>
        <v>23991</v>
      </c>
      <c r="H94" s="165">
        <f>H36+H39+H55+H79</f>
        <v>26392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8" workbookViewId="0">
      <selection activeCell="D25" sqref="D25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01.01.2013-30.06.2013г.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4433</v>
      </c>
      <c r="D9" s="46">
        <v>3666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13561</v>
      </c>
      <c r="D10" s="46">
        <v>10462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1428</v>
      </c>
      <c r="D11" s="46">
        <v>1204</v>
      </c>
      <c r="E11" s="300" t="s">
        <v>293</v>
      </c>
      <c r="F11" s="549" t="s">
        <v>294</v>
      </c>
      <c r="G11" s="550">
        <f>25166+3710</f>
        <v>28876</v>
      </c>
      <c r="H11" s="550">
        <f>20735+3423</f>
        <v>24158</v>
      </c>
    </row>
    <row r="12" spans="1:18">
      <c r="A12" s="298" t="s">
        <v>295</v>
      </c>
      <c r="B12" s="299" t="s">
        <v>296</v>
      </c>
      <c r="C12" s="46">
        <v>2695</v>
      </c>
      <c r="D12" s="46">
        <f>1408+494</f>
        <v>1902</v>
      </c>
      <c r="E12" s="300" t="s">
        <v>78</v>
      </c>
      <c r="F12" s="549" t="s">
        <v>297</v>
      </c>
      <c r="G12" s="550">
        <v>925</v>
      </c>
      <c r="H12" s="550">
        <v>975</v>
      </c>
    </row>
    <row r="13" spans="1:18">
      <c r="A13" s="298" t="s">
        <v>298</v>
      </c>
      <c r="B13" s="299" t="s">
        <v>299</v>
      </c>
      <c r="C13" s="46">
        <v>437</v>
      </c>
      <c r="D13" s="46">
        <f>261+12</f>
        <v>273</v>
      </c>
      <c r="E13" s="301" t="s">
        <v>51</v>
      </c>
      <c r="F13" s="551" t="s">
        <v>300</v>
      </c>
      <c r="G13" s="548">
        <f>SUM(G9:G12)</f>
        <v>29801</v>
      </c>
      <c r="H13" s="548">
        <f>SUM(H9:H12)</f>
        <v>25133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705</v>
      </c>
      <c r="D14" s="46">
        <v>743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18">
      <c r="A16" s="298" t="s">
        <v>307</v>
      </c>
      <c r="B16" s="299" t="s">
        <v>308</v>
      </c>
      <c r="C16" s="47">
        <v>481</v>
      </c>
      <c r="D16" s="47">
        <v>413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23740</v>
      </c>
      <c r="D19" s="49">
        <f>SUM(D9:D15)+D16</f>
        <v>18663</v>
      </c>
      <c r="E19" s="304" t="s">
        <v>317</v>
      </c>
      <c r="F19" s="552" t="s">
        <v>318</v>
      </c>
      <c r="G19" s="550">
        <v>220</v>
      </c>
      <c r="H19" s="550">
        <v>271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157</v>
      </c>
      <c r="D22" s="46">
        <v>148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2</v>
      </c>
      <c r="D24" s="46">
        <v>1</v>
      </c>
      <c r="E24" s="301" t="s">
        <v>103</v>
      </c>
      <c r="F24" s="554" t="s">
        <v>334</v>
      </c>
      <c r="G24" s="548">
        <f>SUM(G19:G23)</f>
        <v>220</v>
      </c>
      <c r="H24" s="548">
        <f>SUM(H19:H23)</f>
        <v>271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f>40+5</f>
        <v>45</v>
      </c>
      <c r="D25" s="46">
        <v>40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204</v>
      </c>
      <c r="D26" s="49">
        <f>SUM(D22:D25)</f>
        <v>189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23944</v>
      </c>
      <c r="D28" s="50">
        <f>D26+D19</f>
        <v>18852</v>
      </c>
      <c r="E28" s="127" t="s">
        <v>339</v>
      </c>
      <c r="F28" s="554" t="s">
        <v>340</v>
      </c>
      <c r="G28" s="548">
        <f>G13+G15+G24</f>
        <v>30021</v>
      </c>
      <c r="H28" s="548">
        <f>H13+H15+H24</f>
        <v>25404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6077</v>
      </c>
      <c r="D30" s="50">
        <f>IF((H28-D28)&gt;0,H28-D28,0)</f>
        <v>6552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23944</v>
      </c>
      <c r="D33" s="49">
        <f>D28-D31+D32</f>
        <v>18852</v>
      </c>
      <c r="E33" s="127" t="s">
        <v>353</v>
      </c>
      <c r="F33" s="554" t="s">
        <v>354</v>
      </c>
      <c r="G33" s="53">
        <f>G32-G31+G28</f>
        <v>30021</v>
      </c>
      <c r="H33" s="53">
        <f>H32-H31+H28</f>
        <v>25404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6077</v>
      </c>
      <c r="D34" s="50">
        <f>IF((H33-D33)&gt;0,H33-D33,0)</f>
        <v>6552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608</v>
      </c>
      <c r="D35" s="49">
        <f>D36+D37+D38</f>
        <v>655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608</v>
      </c>
      <c r="D36" s="46">
        <v>655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5469</v>
      </c>
      <c r="D39" s="460">
        <f>+IF((H33-D33-D35)&gt;0,H33-D33-D35,0)</f>
        <v>5897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5469</v>
      </c>
      <c r="D41" s="52">
        <f>IF(H39=0,IF(D39-D40&gt;0,D39-D40+H40,0),IF(H39-H40&lt;0,H40-H39+D39,0))</f>
        <v>5897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30021</v>
      </c>
      <c r="D42" s="53">
        <f>D33+D35+D39</f>
        <v>25404</v>
      </c>
      <c r="E42" s="128" t="s">
        <v>380</v>
      </c>
      <c r="F42" s="129" t="s">
        <v>381</v>
      </c>
      <c r="G42" s="53">
        <f>G39+G33</f>
        <v>30021</v>
      </c>
      <c r="H42" s="53">
        <f>H39+H33</f>
        <v>25404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34" workbookViewId="0">
      <selection activeCell="C50" sqref="C50:D50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01.01.2013-30.06.2013г.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f>35952+71+991</f>
        <v>37014</v>
      </c>
      <c r="D10" s="54">
        <v>29136</v>
      </c>
      <c r="E10" s="130"/>
      <c r="F10" s="130"/>
    </row>
    <row r="11" spans="1:13">
      <c r="A11" s="332" t="s">
        <v>390</v>
      </c>
      <c r="B11" s="333" t="s">
        <v>391</v>
      </c>
      <c r="C11" s="54">
        <v>-25863</v>
      </c>
      <c r="D11" s="54">
        <v>-22561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f>-2287-591</f>
        <v>-2878</v>
      </c>
      <c r="D13" s="54">
        <v>-1414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-1606</v>
      </c>
      <c r="D14" s="54">
        <v>-1402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-582</v>
      </c>
      <c r="D15" s="54">
        <v>-657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6085</v>
      </c>
      <c r="D20" s="55">
        <f>SUM(D10:D19)</f>
        <v>3102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-312</v>
      </c>
      <c r="D22" s="54">
        <v>-825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236</v>
      </c>
      <c r="D23" s="54">
        <v>220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-76</v>
      </c>
      <c r="D32" s="55">
        <f>SUM(D22:D31)</f>
        <v>-605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f>600+588+110+58</f>
        <v>1356</v>
      </c>
      <c r="D36" s="54">
        <v>990</v>
      </c>
      <c r="E36" s="130"/>
      <c r="F36" s="130"/>
    </row>
    <row r="37" spans="1:8">
      <c r="A37" s="332" t="s">
        <v>439</v>
      </c>
      <c r="B37" s="333" t="s">
        <v>440</v>
      </c>
      <c r="C37" s="54">
        <v>-606</v>
      </c>
      <c r="D37" s="54">
        <v>-2434</v>
      </c>
      <c r="E37" s="130"/>
      <c r="F37" s="130"/>
    </row>
    <row r="38" spans="1:8">
      <c r="A38" s="332" t="s">
        <v>441</v>
      </c>
      <c r="B38" s="333" t="s">
        <v>442</v>
      </c>
      <c r="C38" s="54">
        <f>-173-1944</f>
        <v>-2117</v>
      </c>
      <c r="D38" s="54">
        <v>-1771</v>
      </c>
      <c r="E38" s="130"/>
      <c r="F38" s="130"/>
    </row>
    <row r="39" spans="1:8">
      <c r="A39" s="332" t="s">
        <v>443</v>
      </c>
      <c r="B39" s="333" t="s">
        <v>444</v>
      </c>
      <c r="C39" s="54">
        <v>-152</v>
      </c>
      <c r="D39" s="54">
        <v>-116</v>
      </c>
      <c r="E39" s="130"/>
      <c r="F39" s="130"/>
    </row>
    <row r="40" spans="1:8">
      <c r="A40" s="332" t="s">
        <v>445</v>
      </c>
      <c r="B40" s="333" t="s">
        <v>446</v>
      </c>
      <c r="C40" s="54">
        <v>-4414</v>
      </c>
      <c r="D40" s="54"/>
      <c r="E40" s="130"/>
      <c r="F40" s="130"/>
    </row>
    <row r="41" spans="1:8">
      <c r="A41" s="332" t="s">
        <v>447</v>
      </c>
      <c r="B41" s="333" t="s">
        <v>448</v>
      </c>
      <c r="C41" s="54">
        <f>153471-156642</f>
        <v>-3171</v>
      </c>
      <c r="D41" s="54">
        <f>129816-129818</f>
        <v>-2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-9104</v>
      </c>
      <c r="D42" s="55">
        <f>SUM(D34:D41)</f>
        <v>-3333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-3095</v>
      </c>
      <c r="D43" s="55">
        <f>D42+D32+D20</f>
        <v>-836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3919</v>
      </c>
      <c r="D44" s="132">
        <v>1882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824</v>
      </c>
      <c r="D45" s="55">
        <f>D44+D43</f>
        <v>1046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workbookViewId="0">
      <selection activeCell="C18" sqref="C18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01.01.2013-30.06.2013г.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7482</v>
      </c>
      <c r="J11" s="58">
        <f>'справка №1-БАЛАНС'!H29+'справка №1-БАЛАНС'!H32</f>
        <v>0</v>
      </c>
      <c r="K11" s="60"/>
      <c r="L11" s="344">
        <f>SUM(C11:K11)</f>
        <v>9312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1482</v>
      </c>
      <c r="D15" s="61">
        <f t="shared" ref="D15:M15" si="2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7482</v>
      </c>
      <c r="J15" s="61">
        <f t="shared" si="2"/>
        <v>0</v>
      </c>
      <c r="K15" s="61">
        <f t="shared" si="2"/>
        <v>0</v>
      </c>
      <c r="L15" s="344">
        <f t="shared" si="1"/>
        <v>9312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5469</v>
      </c>
      <c r="J16" s="345">
        <f>+'справка №1-БАЛАНС'!G32</f>
        <v>0</v>
      </c>
      <c r="K16" s="60"/>
      <c r="L16" s="344">
        <f t="shared" si="1"/>
        <v>5469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-4517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-4517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>
        <v>-4417</v>
      </c>
      <c r="D18" s="60"/>
      <c r="E18" s="60"/>
      <c r="F18" s="60"/>
      <c r="G18" s="60"/>
      <c r="H18" s="60"/>
      <c r="I18" s="60"/>
      <c r="J18" s="60"/>
      <c r="K18" s="60"/>
      <c r="L18" s="344">
        <f t="shared" si="1"/>
        <v>-4417</v>
      </c>
      <c r="M18" s="60"/>
      <c r="N18" s="11"/>
    </row>
    <row r="19" spans="1:23" ht="12" customHeight="1">
      <c r="A19" s="13" t="s">
        <v>497</v>
      </c>
      <c r="B19" s="18" t="s">
        <v>498</v>
      </c>
      <c r="C19" s="60">
        <v>-100</v>
      </c>
      <c r="D19" s="60"/>
      <c r="E19" s="60"/>
      <c r="F19" s="60"/>
      <c r="G19" s="60"/>
      <c r="H19" s="60"/>
      <c r="I19" s="60"/>
      <c r="J19" s="60"/>
      <c r="K19" s="60"/>
      <c r="L19" s="344">
        <f t="shared" si="1"/>
        <v>-100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100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100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>
        <v>100</v>
      </c>
      <c r="G25" s="185"/>
      <c r="H25" s="185"/>
      <c r="I25" s="185"/>
      <c r="J25" s="185"/>
      <c r="K25" s="185"/>
      <c r="L25" s="344">
        <f t="shared" si="1"/>
        <v>100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-3035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12951</v>
      </c>
      <c r="J29" s="59">
        <f t="shared" si="6"/>
        <v>0</v>
      </c>
      <c r="K29" s="59">
        <f t="shared" si="6"/>
        <v>0</v>
      </c>
      <c r="L29" s="344">
        <f t="shared" si="1"/>
        <v>10364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-3035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12951</v>
      </c>
      <c r="J32" s="59">
        <f t="shared" si="7"/>
        <v>0</v>
      </c>
      <c r="K32" s="59">
        <f t="shared" si="7"/>
        <v>0</v>
      </c>
      <c r="L32" s="344">
        <f t="shared" si="1"/>
        <v>10364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22" workbookViewId="0">
      <selection activeCell="S25" sqref="S25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01.01.2013-30.06.2013г.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1345</v>
      </c>
      <c r="E11" s="189">
        <v>72</v>
      </c>
      <c r="F11" s="189"/>
      <c r="G11" s="74">
        <f t="shared" si="2"/>
        <v>1417</v>
      </c>
      <c r="H11" s="65"/>
      <c r="I11" s="65"/>
      <c r="J11" s="74">
        <f t="shared" si="3"/>
        <v>1417</v>
      </c>
      <c r="K11" s="65">
        <v>989</v>
      </c>
      <c r="L11" s="65">
        <v>80</v>
      </c>
      <c r="M11" s="65"/>
      <c r="N11" s="74">
        <f t="shared" si="4"/>
        <v>1069</v>
      </c>
      <c r="O11" s="65"/>
      <c r="P11" s="65"/>
      <c r="Q11" s="74">
        <f t="shared" si="0"/>
        <v>1069</v>
      </c>
      <c r="R11" s="74">
        <f t="shared" si="1"/>
        <v>348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15566</v>
      </c>
      <c r="E13" s="189">
        <v>1948</v>
      </c>
      <c r="F13" s="189">
        <v>234</v>
      </c>
      <c r="G13" s="74">
        <f t="shared" si="2"/>
        <v>17280</v>
      </c>
      <c r="H13" s="65"/>
      <c r="I13" s="65"/>
      <c r="J13" s="74">
        <f t="shared" si="3"/>
        <v>17280</v>
      </c>
      <c r="K13" s="65">
        <v>9780</v>
      </c>
      <c r="L13" s="65">
        <v>852</v>
      </c>
      <c r="M13" s="65">
        <v>213</v>
      </c>
      <c r="N13" s="74">
        <f t="shared" si="4"/>
        <v>10419</v>
      </c>
      <c r="O13" s="65"/>
      <c r="P13" s="65"/>
      <c r="Q13" s="74">
        <f t="shared" si="0"/>
        <v>10419</v>
      </c>
      <c r="R13" s="74">
        <f t="shared" si="1"/>
        <v>6861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>
        <v>2047</v>
      </c>
      <c r="E14" s="189">
        <v>409</v>
      </c>
      <c r="F14" s="189"/>
      <c r="G14" s="74">
        <f t="shared" si="2"/>
        <v>2456</v>
      </c>
      <c r="H14" s="65"/>
      <c r="I14" s="65"/>
      <c r="J14" s="74">
        <f t="shared" si="3"/>
        <v>2456</v>
      </c>
      <c r="K14" s="65">
        <v>676</v>
      </c>
      <c r="L14" s="65">
        <v>163</v>
      </c>
      <c r="M14" s="65"/>
      <c r="N14" s="74">
        <f t="shared" si="4"/>
        <v>839</v>
      </c>
      <c r="O14" s="65"/>
      <c r="P14" s="65"/>
      <c r="Q14" s="74">
        <f t="shared" si="0"/>
        <v>839</v>
      </c>
      <c r="R14" s="74">
        <f t="shared" si="1"/>
        <v>1617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2934</v>
      </c>
      <c r="E16" s="189">
        <v>282</v>
      </c>
      <c r="F16" s="189">
        <v>2</v>
      </c>
      <c r="G16" s="74">
        <f t="shared" si="2"/>
        <v>3214</v>
      </c>
      <c r="H16" s="65"/>
      <c r="I16" s="65"/>
      <c r="J16" s="74">
        <f t="shared" si="3"/>
        <v>3214</v>
      </c>
      <c r="K16" s="65">
        <v>2323</v>
      </c>
      <c r="L16" s="65">
        <v>149</v>
      </c>
      <c r="M16" s="65"/>
      <c r="N16" s="74">
        <f t="shared" si="4"/>
        <v>2472</v>
      </c>
      <c r="O16" s="65"/>
      <c r="P16" s="65"/>
      <c r="Q16" s="74">
        <f t="shared" ref="Q16:Q25" si="5">N16+O16-P16</f>
        <v>2472</v>
      </c>
      <c r="R16" s="74">
        <f t="shared" ref="R16:R25" si="6">J16-Q16</f>
        <v>742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21892</v>
      </c>
      <c r="E17" s="194">
        <f>SUM(E9:E16)</f>
        <v>2711</v>
      </c>
      <c r="F17" s="194">
        <f>SUM(F9:F16)</f>
        <v>236</v>
      </c>
      <c r="G17" s="74">
        <f t="shared" si="2"/>
        <v>24367</v>
      </c>
      <c r="H17" s="75">
        <f>SUM(H9:H16)</f>
        <v>0</v>
      </c>
      <c r="I17" s="75">
        <f>SUM(I9:I16)</f>
        <v>0</v>
      </c>
      <c r="J17" s="74">
        <f t="shared" si="3"/>
        <v>24367</v>
      </c>
      <c r="K17" s="75">
        <f>SUM(K9:K16)</f>
        <v>13768</v>
      </c>
      <c r="L17" s="75">
        <f>SUM(L9:L16)</f>
        <v>1244</v>
      </c>
      <c r="M17" s="75">
        <f>SUM(M9:M16)</f>
        <v>213</v>
      </c>
      <c r="N17" s="74">
        <f t="shared" si="4"/>
        <v>14799</v>
      </c>
      <c r="O17" s="75">
        <f>SUM(O9:O16)</f>
        <v>0</v>
      </c>
      <c r="P17" s="75">
        <f>SUM(P9:P16)</f>
        <v>0</v>
      </c>
      <c r="Q17" s="74">
        <f t="shared" si="5"/>
        <v>14799</v>
      </c>
      <c r="R17" s="74">
        <f t="shared" si="6"/>
        <v>9568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1730</v>
      </c>
      <c r="E22" s="189">
        <v>252</v>
      </c>
      <c r="F22" s="189"/>
      <c r="G22" s="74">
        <f t="shared" si="2"/>
        <v>1982</v>
      </c>
      <c r="H22" s="65"/>
      <c r="I22" s="65"/>
      <c r="J22" s="74">
        <f t="shared" si="3"/>
        <v>1982</v>
      </c>
      <c r="K22" s="65">
        <v>1352</v>
      </c>
      <c r="L22" s="65">
        <v>183</v>
      </c>
      <c r="M22" s="65"/>
      <c r="N22" s="74">
        <f t="shared" si="4"/>
        <v>1535</v>
      </c>
      <c r="O22" s="65"/>
      <c r="P22" s="65"/>
      <c r="Q22" s="74">
        <f t="shared" si="5"/>
        <v>1535</v>
      </c>
      <c r="R22" s="74">
        <f t="shared" si="6"/>
        <v>447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1730</v>
      </c>
      <c r="E25" s="190">
        <f t="shared" ref="E25:P25" si="7">SUM(E21:E24)</f>
        <v>252</v>
      </c>
      <c r="F25" s="190">
        <f t="shared" si="7"/>
        <v>0</v>
      </c>
      <c r="G25" s="67">
        <f t="shared" si="2"/>
        <v>1982</v>
      </c>
      <c r="H25" s="66">
        <f t="shared" si="7"/>
        <v>0</v>
      </c>
      <c r="I25" s="66">
        <f t="shared" si="7"/>
        <v>0</v>
      </c>
      <c r="J25" s="67">
        <f t="shared" si="3"/>
        <v>1982</v>
      </c>
      <c r="K25" s="66">
        <f t="shared" si="7"/>
        <v>1352</v>
      </c>
      <c r="L25" s="66">
        <f t="shared" si="7"/>
        <v>183</v>
      </c>
      <c r="M25" s="66">
        <f t="shared" si="7"/>
        <v>0</v>
      </c>
      <c r="N25" s="67">
        <f t="shared" si="4"/>
        <v>1535</v>
      </c>
      <c r="O25" s="66">
        <f t="shared" si="7"/>
        <v>0</v>
      </c>
      <c r="P25" s="66">
        <f t="shared" si="7"/>
        <v>0</v>
      </c>
      <c r="Q25" s="67">
        <f t="shared" si="5"/>
        <v>1535</v>
      </c>
      <c r="R25" s="67">
        <f t="shared" si="6"/>
        <v>447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24604</v>
      </c>
      <c r="E40" s="438">
        <f>E17+E18+E19+E25+E38+E39</f>
        <v>2963</v>
      </c>
      <c r="F40" s="438">
        <f t="shared" ref="F40:R40" si="13">F17+F18+F19+F25+F38+F39</f>
        <v>236</v>
      </c>
      <c r="G40" s="438">
        <f t="shared" si="13"/>
        <v>27331</v>
      </c>
      <c r="H40" s="438">
        <f t="shared" si="13"/>
        <v>0</v>
      </c>
      <c r="I40" s="438">
        <f t="shared" si="13"/>
        <v>0</v>
      </c>
      <c r="J40" s="438">
        <f t="shared" si="13"/>
        <v>27331</v>
      </c>
      <c r="K40" s="438">
        <f t="shared" si="13"/>
        <v>15120</v>
      </c>
      <c r="L40" s="438">
        <f t="shared" si="13"/>
        <v>1427</v>
      </c>
      <c r="M40" s="438">
        <f t="shared" si="13"/>
        <v>213</v>
      </c>
      <c r="N40" s="438">
        <f t="shared" si="13"/>
        <v>16334</v>
      </c>
      <c r="O40" s="438">
        <f t="shared" si="13"/>
        <v>0</v>
      </c>
      <c r="P40" s="438">
        <f t="shared" si="13"/>
        <v>0</v>
      </c>
      <c r="Q40" s="438">
        <f t="shared" si="13"/>
        <v>16334</v>
      </c>
      <c r="R40" s="438">
        <f t="shared" si="13"/>
        <v>10997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workbookViewId="0">
      <selection activeCell="C44" sqref="C44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01.01.2013-30.06.2013г.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135</v>
      </c>
      <c r="D21" s="108">
        <v>135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3452</v>
      </c>
      <c r="D24" s="119">
        <f>SUM(D25:D27)</f>
        <v>3452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2652</v>
      </c>
      <c r="D25" s="108">
        <v>2652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800</v>
      </c>
      <c r="D26" s="108">
        <v>800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7083</v>
      </c>
      <c r="D28" s="108">
        <v>7083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416</v>
      </c>
      <c r="D29" s="108">
        <v>416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22</v>
      </c>
      <c r="D42" s="108">
        <v>22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10973</v>
      </c>
      <c r="D43" s="104">
        <f>D24+D28+D29+D31+D30+D32+D33+D38</f>
        <v>10973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11108</v>
      </c>
      <c r="D44" s="103">
        <f>D43+D21+D19+D9</f>
        <v>11108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>
        <v>4189</v>
      </c>
      <c r="D64" s="108"/>
      <c r="E64" s="119">
        <f t="shared" si="1"/>
        <v>4189</v>
      </c>
      <c r="F64" s="110"/>
    </row>
    <row r="65" spans="1:16">
      <c r="A65" s="396" t="s">
        <v>712</v>
      </c>
      <c r="B65" s="397" t="s">
        <v>713</v>
      </c>
      <c r="C65" s="109">
        <v>4189</v>
      </c>
      <c r="D65" s="109"/>
      <c r="E65" s="119">
        <f t="shared" si="1"/>
        <v>4189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4189</v>
      </c>
      <c r="D66" s="103">
        <f>D52+D56+D61+D62+D63+D64</f>
        <v>0</v>
      </c>
      <c r="E66" s="119">
        <f t="shared" si="1"/>
        <v>4189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2238</v>
      </c>
      <c r="D71" s="105">
        <f>SUM(D72:D74)</f>
        <v>2238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2238</v>
      </c>
      <c r="D74" s="108">
        <v>2238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2002</v>
      </c>
      <c r="D75" s="103">
        <f>D76+D78</f>
        <v>2002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2002</v>
      </c>
      <c r="D78" s="108">
        <v>2002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4553</v>
      </c>
      <c r="D85" s="104">
        <f>SUM(D86:D90)+D94</f>
        <v>4553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3536</v>
      </c>
      <c r="D87" s="108">
        <v>3536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>
        <v>44</v>
      </c>
      <c r="D88" s="108">
        <v>44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592</v>
      </c>
      <c r="D89" s="108">
        <v>592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236</v>
      </c>
      <c r="D90" s="103">
        <f>SUM(D91:D93)</f>
        <v>236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192</v>
      </c>
      <c r="D92" s="108">
        <v>192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44</v>
      </c>
      <c r="D93" s="108">
        <v>44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145</v>
      </c>
      <c r="D94" s="108">
        <v>145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645</v>
      </c>
      <c r="D95" s="108">
        <v>645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9438</v>
      </c>
      <c r="D96" s="104">
        <f>D85+D80+D75+D71+D95</f>
        <v>9438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13627</v>
      </c>
      <c r="D97" s="104">
        <f>D96+D68+D66</f>
        <v>9438</v>
      </c>
      <c r="E97" s="104">
        <f>E96+E68+E66</f>
        <v>4189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01.01.2013-30.06.2013г.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A4" sqref="A4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01.01.2013-30.06.2013г.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Камелия Йорданова</cp:lastModifiedBy>
  <cp:lastPrinted>2013-04-01T08:57:27Z</cp:lastPrinted>
  <dcterms:created xsi:type="dcterms:W3CDTF">2000-06-29T12:02:40Z</dcterms:created>
  <dcterms:modified xsi:type="dcterms:W3CDTF">2013-07-19T17:33:01Z</dcterms:modified>
</cp:coreProperties>
</file>