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<sst xmlns="http://schemas.openxmlformats.org/spreadsheetml/2006/main" count="4322" uniqueCount="1004">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</sst>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44035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43831</v>
      </c>
    </row>
    <row r="10" spans="1:2" ht="15">
      <c r="A10" s="7" t="s">
        <v>2</v>
      </c>
      <c r="B10" s="578">
        <v>44012</v>
      </c>
    </row>
    <row r="11" spans="1:2" ht="15">
      <c r="A11" s="7" t="s">
        <v>977</v>
      </c>
      <c r="B11" s="578">
        <v>44035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994</v>
      </c>
    </row>
    <row r="24" spans="1:2" ht="15">
      <c r="A24" s="10" t="s">
        <v>918</v>
      </c>
      <c r="B24" s="689" t="s">
        <v>995</v>
      </c>
    </row>
    <row r="25" spans="1:2" ht="15">
      <c r="A25" s="7" t="s">
        <v>921</v>
      </c>
      <c r="B25" s="690" t="s">
        <v>996</v>
      </c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01.01.2020 г. до 30.06.2020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156399</v>
      </c>
      <c r="D6" s="674">
        <f aca="true" t="shared" si="0" ref="D6:D15">C6-E6</f>
        <v>0</v>
      </c>
      <c r="E6" s="673">
        <f>'1-Баланс'!G95</f>
        <v>156399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66323</v>
      </c>
      <c r="D7" s="674">
        <f t="shared" si="0"/>
        <v>60945</v>
      </c>
      <c r="E7" s="673">
        <f>'1-Баланс'!G18</f>
        <v>5378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12007</v>
      </c>
      <c r="D8" s="674">
        <f t="shared" si="0"/>
        <v>0</v>
      </c>
      <c r="E8" s="673">
        <f>ABS('2-Отчет за доходите'!C44)-ABS('2-Отчет за доходите'!G44)</f>
        <v>12007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5784</v>
      </c>
      <c r="D9" s="674">
        <f t="shared" si="0"/>
        <v>0</v>
      </c>
      <c r="E9" s="673">
        <f>'3-Отчет за паричния поток'!C45</f>
        <v>5784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10364</v>
      </c>
      <c r="D10" s="674">
        <f t="shared" si="0"/>
        <v>0</v>
      </c>
      <c r="E10" s="673">
        <f>'3-Отчет за паричния поток'!C46</f>
        <v>10364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66323</v>
      </c>
      <c r="D11" s="674">
        <f t="shared" si="0"/>
        <v>0</v>
      </c>
      <c r="E11" s="673">
        <f>'4-Отчет за собствения капитал'!L34</f>
        <v>66323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46255</v>
      </c>
      <c r="D12" s="674">
        <f t="shared" si="0"/>
        <v>0</v>
      </c>
      <c r="E12" s="673">
        <f>'Справка 5'!C27+'Справка 5'!C97</f>
        <v>46255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0.1459728891860677</v>
      </c>
      <c r="E3" s="645"/>
    </row>
    <row r="4" spans="1:4" ht="30.7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0.18103825219003966</v>
      </c>
    </row>
    <row r="5" spans="1:4" ht="30.7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0.13329854789289045</v>
      </c>
    </row>
    <row r="6" spans="1:4" ht="30.7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0.07677159061119317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1.1773266161049203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2">
        <v>6</v>
      </c>
      <c r="B10" s="590" t="s">
        <v>896</v>
      </c>
      <c r="C10" s="591" t="s">
        <v>897</v>
      </c>
      <c r="D10" s="640">
        <f>'1-Баланс'!C94/'1-Баланс'!G79</f>
        <v>0.8696364655655698</v>
      </c>
    </row>
    <row r="11" spans="1:4" ht="62.25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0.8598689033593514</v>
      </c>
    </row>
    <row r="12" spans="1:4" ht="46.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0.22346802363189444</v>
      </c>
    </row>
    <row r="13" spans="1:4" ht="30.75">
      <c r="A13" s="592">
        <v>9</v>
      </c>
      <c r="B13" s="590" t="s">
        <v>900</v>
      </c>
      <c r="C13" s="591" t="s">
        <v>901</v>
      </c>
      <c r="D13" s="640">
        <f>'1-Баланс'!C92/'1-Баланс'!G79</f>
        <v>0.22346802363189444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1.2717813132952982</v>
      </c>
    </row>
    <row r="16" spans="1:4" ht="30.7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0.525930472701232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0.3971787204261005</v>
      </c>
    </row>
    <row r="19" spans="1:4" ht="30.75">
      <c r="A19" s="592">
        <v>13</v>
      </c>
      <c r="B19" s="590" t="s">
        <v>933</v>
      </c>
      <c r="C19" s="591" t="s">
        <v>906</v>
      </c>
      <c r="D19" s="640">
        <f>D4/D5</f>
        <v>1.3581412179786803</v>
      </c>
    </row>
    <row r="20" spans="1:4" ht="30.75">
      <c r="A20" s="592">
        <v>14</v>
      </c>
      <c r="B20" s="590" t="s">
        <v>907</v>
      </c>
      <c r="C20" s="591" t="s">
        <v>908</v>
      </c>
      <c r="D20" s="640">
        <f>D6/D5</f>
        <v>0.5759371862991451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13796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6">
        <f>D21/'1-Баланс'!G37</f>
        <v>0.2080123034241515</v>
      </c>
    </row>
    <row r="23" spans="1:4" ht="30.7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0.24316561820486285</v>
      </c>
    </row>
    <row r="24" spans="1:4" ht="30.7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4.307383320581485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32053</v>
      </c>
    </row>
    <row r="5" spans="1:8" ht="1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2579</v>
      </c>
    </row>
    <row r="6" spans="1:8" ht="1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20709</v>
      </c>
    </row>
    <row r="8" spans="1:8" ht="1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6719</v>
      </c>
    </row>
    <row r="11" spans="1:8" ht="1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62060</v>
      </c>
    </row>
    <row r="12" spans="1:8" ht="1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2164</v>
      </c>
    </row>
    <row r="16" spans="1:8" ht="1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2164</v>
      </c>
    </row>
    <row r="19" spans="1:8" ht="1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46255</v>
      </c>
    </row>
    <row r="23" spans="1:8" ht="1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46255</v>
      </c>
    </row>
    <row r="24" spans="1:8" ht="1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46255</v>
      </c>
    </row>
    <row r="34" spans="1:8" ht="1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4845</v>
      </c>
    </row>
    <row r="35" spans="1:8" ht="1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380</v>
      </c>
    </row>
    <row r="38" spans="1:8" ht="1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5225</v>
      </c>
    </row>
    <row r="39" spans="1:8" ht="1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363</v>
      </c>
    </row>
    <row r="41" spans="1:8" ht="1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116067</v>
      </c>
    </row>
    <row r="42" spans="1:8" ht="1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453</v>
      </c>
    </row>
    <row r="43" spans="1:8" ht="1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453</v>
      </c>
    </row>
    <row r="49" spans="1:8" ht="1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12158</v>
      </c>
    </row>
    <row r="50" spans="1:8" ht="1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15519</v>
      </c>
    </row>
    <row r="51" spans="1:8" ht="1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1838</v>
      </c>
    </row>
    <row r="57" spans="1:8" ht="1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29515</v>
      </c>
    </row>
    <row r="58" spans="1:8" ht="1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218</v>
      </c>
    </row>
    <row r="66" spans="1:8" ht="1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10146</v>
      </c>
    </row>
    <row r="67" spans="1:8" ht="1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10364</v>
      </c>
    </row>
    <row r="70" spans="1:8" ht="1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40332</v>
      </c>
    </row>
    <row r="72" spans="1:8" ht="1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156399</v>
      </c>
    </row>
    <row r="73" spans="1:8" ht="1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28835</v>
      </c>
    </row>
    <row r="88" spans="1:8" ht="1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28835</v>
      </c>
    </row>
    <row r="89" spans="1:8" ht="1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12007</v>
      </c>
    </row>
    <row r="92" spans="1:8" ht="1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40842</v>
      </c>
    </row>
    <row r="94" spans="1:8" ht="1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66323</v>
      </c>
    </row>
    <row r="95" spans="1:8" ht="1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36858</v>
      </c>
    </row>
    <row r="98" spans="1:8" ht="1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6667</v>
      </c>
    </row>
    <row r="102" spans="1:8" ht="1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43525</v>
      </c>
    </row>
    <row r="103" spans="1:8" ht="1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173</v>
      </c>
    </row>
    <row r="104" spans="1:8" ht="1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43698</v>
      </c>
    </row>
    <row r="108" spans="1:8" ht="1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12557</v>
      </c>
    </row>
    <row r="109" spans="1:8" ht="1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17840</v>
      </c>
    </row>
    <row r="111" spans="1:8" ht="1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3960</v>
      </c>
    </row>
    <row r="112" spans="1:8" ht="1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6649</v>
      </c>
    </row>
    <row r="114" spans="1:8" ht="1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4155</v>
      </c>
    </row>
    <row r="116" spans="1:8" ht="1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1201</v>
      </c>
    </row>
    <row r="117" spans="1:8" ht="1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1875</v>
      </c>
    </row>
    <row r="118" spans="1:8" ht="1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15938</v>
      </c>
    </row>
    <row r="119" spans="1:8" ht="1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46335</v>
      </c>
    </row>
    <row r="121" spans="1:8" ht="1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43</v>
      </c>
    </row>
    <row r="124" spans="1:8" ht="1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46378</v>
      </c>
    </row>
    <row r="125" spans="1:8" ht="1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156399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3715</v>
      </c>
    </row>
    <row r="128" spans="1:8" ht="1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40055</v>
      </c>
    </row>
    <row r="129" spans="1:8" ht="1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7116</v>
      </c>
    </row>
    <row r="130" spans="1:8" ht="1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16926</v>
      </c>
    </row>
    <row r="131" spans="1:8" ht="1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2986</v>
      </c>
    </row>
    <row r="132" spans="1:8" ht="1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1391</v>
      </c>
    </row>
    <row r="135" spans="1:8" ht="1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72189</v>
      </c>
    </row>
    <row r="138" spans="1:8" ht="1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843</v>
      </c>
    </row>
    <row r="139" spans="1:8" ht="1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857</v>
      </c>
    </row>
    <row r="143" spans="1:8" ht="1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73046</v>
      </c>
    </row>
    <row r="144" spans="1:8" ht="1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12953</v>
      </c>
    </row>
    <row r="145" spans="1:8" ht="1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73046</v>
      </c>
    </row>
    <row r="148" spans="1:8" ht="1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12953</v>
      </c>
    </row>
    <row r="149" spans="1:8" ht="1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946</v>
      </c>
    </row>
    <row r="150" spans="1:8" ht="1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946</v>
      </c>
    </row>
    <row r="151" spans="1:8" ht="1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12007</v>
      </c>
    </row>
    <row r="154" spans="1:8" ht="1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12007</v>
      </c>
    </row>
    <row r="156" spans="1:8" ht="1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85999</v>
      </c>
    </row>
    <row r="157" spans="1:8" ht="1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79916</v>
      </c>
    </row>
    <row r="160" spans="1:8" ht="1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2339</v>
      </c>
    </row>
    <row r="161" spans="1:8" ht="1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82255</v>
      </c>
    </row>
    <row r="162" spans="1:8" ht="1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86</v>
      </c>
    </row>
    <row r="163" spans="1:8" ht="1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86</v>
      </c>
    </row>
    <row r="164" spans="1:8" ht="1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167</v>
      </c>
    </row>
    <row r="165" spans="1:8" ht="1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3491</v>
      </c>
    </row>
    <row r="166" spans="1:8" ht="1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3658</v>
      </c>
    </row>
    <row r="170" spans="1:8" ht="1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85999</v>
      </c>
    </row>
    <row r="171" spans="1:8" ht="1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85999</v>
      </c>
    </row>
    <row r="175" spans="1:8" ht="1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85999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96128</v>
      </c>
    </row>
    <row r="182" spans="1:8" ht="1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-59269</v>
      </c>
    </row>
    <row r="183" spans="1:8" ht="1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-19023</v>
      </c>
    </row>
    <row r="185" spans="1:8" ht="1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-6019</v>
      </c>
    </row>
    <row r="186" spans="1:8" ht="1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-972</v>
      </c>
    </row>
    <row r="187" spans="1:8" ht="1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-52</v>
      </c>
    </row>
    <row r="190" spans="1:8" ht="1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4044</v>
      </c>
    </row>
    <row r="191" spans="1:8" ht="1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14837</v>
      </c>
    </row>
    <row r="192" spans="1:8" ht="1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-1466</v>
      </c>
    </row>
    <row r="193" spans="1:8" ht="1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110</v>
      </c>
    </row>
    <row r="194" spans="1:8" ht="1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997</v>
      </c>
    </row>
    <row r="196" spans="1:8" ht="1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167</v>
      </c>
    </row>
    <row r="197" spans="1:8" ht="1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-4133</v>
      </c>
    </row>
    <row r="198" spans="1:8" ht="1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-4325</v>
      </c>
    </row>
    <row r="203" spans="1:8" ht="1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-1509</v>
      </c>
    </row>
    <row r="207" spans="1:8" ht="1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-3950</v>
      </c>
    </row>
    <row r="208" spans="1:8" ht="1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-473</v>
      </c>
    </row>
    <row r="209" spans="1:8" ht="1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-5932</v>
      </c>
    </row>
    <row r="212" spans="1:8" ht="1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4580</v>
      </c>
    </row>
    <row r="213" spans="1:8" ht="1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5784</v>
      </c>
    </row>
    <row r="214" spans="1:8" ht="1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10364</v>
      </c>
    </row>
    <row r="215" spans="1:8" ht="1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39590</v>
      </c>
    </row>
    <row r="351" spans="1:8" ht="1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39590</v>
      </c>
    </row>
    <row r="355" spans="1:8" ht="1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12007</v>
      </c>
    </row>
    <row r="356" spans="1:8" ht="1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-10755</v>
      </c>
    </row>
    <row r="357" spans="1:8" ht="1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-10755</v>
      </c>
    </row>
    <row r="358" spans="1:8" ht="1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40842</v>
      </c>
    </row>
    <row r="369" spans="1:8" ht="1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40842</v>
      </c>
    </row>
    <row r="372" spans="1:8" ht="1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65071</v>
      </c>
    </row>
    <row r="417" spans="1:8" ht="1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65071</v>
      </c>
    </row>
    <row r="421" spans="1:8" ht="1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12007</v>
      </c>
    </row>
    <row r="422" spans="1:8" ht="1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-10755</v>
      </c>
    </row>
    <row r="423" spans="1:8" ht="1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-10755</v>
      </c>
    </row>
    <row r="424" spans="1:8" ht="1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66323</v>
      </c>
    </row>
    <row r="435" spans="1:8" ht="1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66323</v>
      </c>
    </row>
    <row r="438" spans="1:8" ht="1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45395</v>
      </c>
    </row>
    <row r="463" spans="1:8" ht="1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6100</v>
      </c>
    </row>
    <row r="464" spans="1:8" ht="1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39457</v>
      </c>
    </row>
    <row r="466" spans="1:8" ht="1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13714</v>
      </c>
    </row>
    <row r="469" spans="1:8" ht="1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104666</v>
      </c>
    </row>
    <row r="470" spans="1:8" ht="1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7965</v>
      </c>
    </row>
    <row r="474" spans="1:8" ht="1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7965</v>
      </c>
    </row>
    <row r="477" spans="1:8" ht="1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46255</v>
      </c>
    </row>
    <row r="478" spans="1:8" ht="1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46255</v>
      </c>
    </row>
    <row r="479" spans="1:8" ht="1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46255</v>
      </c>
    </row>
    <row r="489" spans="1:8" ht="1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158886</v>
      </c>
    </row>
    <row r="491" spans="1:8" ht="1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79</v>
      </c>
    </row>
    <row r="493" spans="1:8" ht="1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101</v>
      </c>
    </row>
    <row r="494" spans="1:8" ht="1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5111</v>
      </c>
    </row>
    <row r="496" spans="1:8" ht="1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1507</v>
      </c>
    </row>
    <row r="499" spans="1:8" ht="1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6798</v>
      </c>
    </row>
    <row r="500" spans="1:8" ht="1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570</v>
      </c>
    </row>
    <row r="504" spans="1:8" ht="1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570</v>
      </c>
    </row>
    <row r="507" spans="1:8" ht="1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7368</v>
      </c>
    </row>
    <row r="521" spans="1:8" ht="1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405</v>
      </c>
    </row>
    <row r="526" spans="1:8" ht="1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151</v>
      </c>
    </row>
    <row r="529" spans="1:8" ht="1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556</v>
      </c>
    </row>
    <row r="530" spans="1:8" ht="1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556</v>
      </c>
    </row>
    <row r="551" spans="1:8" ht="1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45474</v>
      </c>
    </row>
    <row r="553" spans="1:8" ht="1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6201</v>
      </c>
    </row>
    <row r="554" spans="1:8" ht="1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44163</v>
      </c>
    </row>
    <row r="556" spans="1:8" ht="1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15070</v>
      </c>
    </row>
    <row r="559" spans="1:8" ht="1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110908</v>
      </c>
    </row>
    <row r="560" spans="1:8" ht="1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8535</v>
      </c>
    </row>
    <row r="564" spans="1:8" ht="1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8535</v>
      </c>
    </row>
    <row r="567" spans="1:8" ht="1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46255</v>
      </c>
    </row>
    <row r="568" spans="1:8" ht="1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46255</v>
      </c>
    </row>
    <row r="569" spans="1:8" ht="1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46255</v>
      </c>
    </row>
    <row r="579" spans="1:8" ht="1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165698</v>
      </c>
    </row>
    <row r="581" spans="1:8" ht="1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45474</v>
      </c>
    </row>
    <row r="643" spans="1:8" ht="1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6201</v>
      </c>
    </row>
    <row r="644" spans="1:8" ht="1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44163</v>
      </c>
    </row>
    <row r="646" spans="1:8" ht="1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15070</v>
      </c>
    </row>
    <row r="649" spans="1:8" ht="1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110908</v>
      </c>
    </row>
    <row r="650" spans="1:8" ht="1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8535</v>
      </c>
    </row>
    <row r="654" spans="1:8" ht="1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8535</v>
      </c>
    </row>
    <row r="657" spans="1:8" ht="1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46255</v>
      </c>
    </row>
    <row r="658" spans="1:8" ht="1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46255</v>
      </c>
    </row>
    <row r="659" spans="1:8" ht="1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46255</v>
      </c>
    </row>
    <row r="669" spans="1:8" ht="1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165698</v>
      </c>
    </row>
    <row r="671" spans="1:8" ht="1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10701</v>
      </c>
    </row>
    <row r="673" spans="1:8" ht="1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3268</v>
      </c>
    </row>
    <row r="674" spans="1:8" ht="1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20980</v>
      </c>
    </row>
    <row r="676" spans="1:8" ht="1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7652</v>
      </c>
    </row>
    <row r="679" spans="1:8" ht="1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42601</v>
      </c>
    </row>
    <row r="680" spans="1:8" ht="1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5888</v>
      </c>
    </row>
    <row r="684" spans="1:8" ht="1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5888</v>
      </c>
    </row>
    <row r="687" spans="1:8" ht="1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48489</v>
      </c>
    </row>
    <row r="701" spans="1:8" ht="1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2720</v>
      </c>
    </row>
    <row r="703" spans="1:8" ht="1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354</v>
      </c>
    </row>
    <row r="704" spans="1:8" ht="1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2860</v>
      </c>
    </row>
    <row r="706" spans="1:8" ht="1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699</v>
      </c>
    </row>
    <row r="709" spans="1:8" ht="1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6633</v>
      </c>
    </row>
    <row r="710" spans="1:8" ht="1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483</v>
      </c>
    </row>
    <row r="714" spans="1:8" ht="1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483</v>
      </c>
    </row>
    <row r="717" spans="1:8" ht="1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7116</v>
      </c>
    </row>
    <row r="731" spans="1:8" ht="1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386</v>
      </c>
    </row>
    <row r="736" spans="1:8" ht="1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386</v>
      </c>
    </row>
    <row r="740" spans="1:8" ht="1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386</v>
      </c>
    </row>
    <row r="761" spans="1:8" ht="1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13421</v>
      </c>
    </row>
    <row r="763" spans="1:8" ht="1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3622</v>
      </c>
    </row>
    <row r="764" spans="1:8" ht="1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23454</v>
      </c>
    </row>
    <row r="766" spans="1:8" ht="1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8351</v>
      </c>
    </row>
    <row r="769" spans="1:8" ht="1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48848</v>
      </c>
    </row>
    <row r="770" spans="1:8" ht="1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6371</v>
      </c>
    </row>
    <row r="774" spans="1:8" ht="1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6371</v>
      </c>
    </row>
    <row r="777" spans="1:8" ht="1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55219</v>
      </c>
    </row>
    <row r="791" spans="1:8" ht="1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13421</v>
      </c>
    </row>
    <row r="853" spans="1:8" ht="1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3622</v>
      </c>
    </row>
    <row r="854" spans="1:8" ht="1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23454</v>
      </c>
    </row>
    <row r="856" spans="1:8" ht="1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8351</v>
      </c>
    </row>
    <row r="859" spans="1:8" ht="1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48848</v>
      </c>
    </row>
    <row r="860" spans="1:8" ht="1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6371</v>
      </c>
    </row>
    <row r="864" spans="1:8" ht="1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6371</v>
      </c>
    </row>
    <row r="867" spans="1:8" ht="1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55219</v>
      </c>
    </row>
    <row r="881" spans="1:8" ht="1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32053</v>
      </c>
    </row>
    <row r="883" spans="1:8" ht="1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2579</v>
      </c>
    </row>
    <row r="884" spans="1:8" ht="1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20709</v>
      </c>
    </row>
    <row r="886" spans="1:8" ht="1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6719</v>
      </c>
    </row>
    <row r="889" spans="1:8" ht="1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62060</v>
      </c>
    </row>
    <row r="890" spans="1:8" ht="1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2164</v>
      </c>
    </row>
    <row r="894" spans="1:8" ht="1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2164</v>
      </c>
    </row>
    <row r="897" spans="1:8" ht="1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46255</v>
      </c>
    </row>
    <row r="898" spans="1:8" ht="1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46255</v>
      </c>
    </row>
    <row r="899" spans="1:8" ht="1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46255</v>
      </c>
    </row>
    <row r="909" spans="1:8" ht="1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110479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4845</v>
      </c>
    </row>
    <row r="918" spans="1:8" ht="1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380</v>
      </c>
    </row>
    <row r="919" spans="1:8" ht="1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380</v>
      </c>
    </row>
    <row r="921" spans="1:8" ht="1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5225</v>
      </c>
    </row>
    <row r="922" spans="1:8" ht="1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416</v>
      </c>
    </row>
    <row r="923" spans="1:8" ht="1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12158</v>
      </c>
    </row>
    <row r="924" spans="1:8" ht="1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1995</v>
      </c>
    </row>
    <row r="925" spans="1:8" ht="1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6672</v>
      </c>
    </row>
    <row r="926" spans="1:8" ht="1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3491</v>
      </c>
    </row>
    <row r="927" spans="1:8" ht="1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15519</v>
      </c>
    </row>
    <row r="928" spans="1:8" ht="1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1838</v>
      </c>
    </row>
    <row r="938" spans="1:8" ht="1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1838</v>
      </c>
    </row>
    <row r="942" spans="1:8" ht="1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29515</v>
      </c>
    </row>
    <row r="943" spans="1:8" ht="1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35156</v>
      </c>
    </row>
    <row r="944" spans="1:8" ht="1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416</v>
      </c>
    </row>
    <row r="955" spans="1:8" ht="1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12158</v>
      </c>
    </row>
    <row r="956" spans="1:8" ht="1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1995</v>
      </c>
    </row>
    <row r="957" spans="1:8" ht="1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6672</v>
      </c>
    </row>
    <row r="958" spans="1:8" ht="1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3491</v>
      </c>
    </row>
    <row r="959" spans="1:8" ht="1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15519</v>
      </c>
    </row>
    <row r="960" spans="1:8" ht="1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1838</v>
      </c>
    </row>
    <row r="970" spans="1:8" ht="1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1838</v>
      </c>
    </row>
    <row r="974" spans="1:8" ht="1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29515</v>
      </c>
    </row>
    <row r="975" spans="1:8" ht="1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29931</v>
      </c>
    </row>
    <row r="976" spans="1:8" ht="1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4845</v>
      </c>
    </row>
    <row r="982" spans="1:8" ht="1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380</v>
      </c>
    </row>
    <row r="983" spans="1:8" ht="1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380</v>
      </c>
    </row>
    <row r="985" spans="1:8" ht="1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5225</v>
      </c>
    </row>
    <row r="986" spans="1:8" ht="1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5225</v>
      </c>
    </row>
    <row r="1008" spans="1:8" ht="1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636</v>
      </c>
    </row>
    <row r="1013" spans="1:8" ht="1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636</v>
      </c>
    </row>
    <row r="1014" spans="1:8" ht="1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43062</v>
      </c>
    </row>
    <row r="1021" spans="1:8" ht="1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11473</v>
      </c>
    </row>
    <row r="1022" spans="1:8" ht="1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43698</v>
      </c>
    </row>
    <row r="1023" spans="1:8" ht="1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3850</v>
      </c>
    </row>
    <row r="1025" spans="1:8" ht="1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3850</v>
      </c>
    </row>
    <row r="1026" spans="1:8" ht="1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12557</v>
      </c>
    </row>
    <row r="1029" spans="1:8" ht="1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1332</v>
      </c>
    </row>
    <row r="1030" spans="1:8" ht="1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11225</v>
      </c>
    </row>
    <row r="1032" spans="1:8" ht="1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13990</v>
      </c>
    </row>
    <row r="1039" spans="1:8" ht="1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6759</v>
      </c>
    </row>
    <row r="1041" spans="1:8" ht="1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4155</v>
      </c>
    </row>
    <row r="1043" spans="1:8" ht="1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1875</v>
      </c>
    </row>
    <row r="1044" spans="1:8" ht="1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346</v>
      </c>
    </row>
    <row r="1045" spans="1:8" ht="1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948</v>
      </c>
    </row>
    <row r="1046" spans="1:8" ht="1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581</v>
      </c>
    </row>
    <row r="1047" spans="1:8" ht="1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1201</v>
      </c>
    </row>
    <row r="1048" spans="1:8" ht="1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15938</v>
      </c>
    </row>
    <row r="1049" spans="1:8" ht="1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46335</v>
      </c>
    </row>
    <row r="1050" spans="1:8" ht="1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90033</v>
      </c>
    </row>
    <row r="1051" spans="1:8" ht="1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3850</v>
      </c>
    </row>
    <row r="1068" spans="1:8" ht="1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3850</v>
      </c>
    </row>
    <row r="1069" spans="1:8" ht="1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12557</v>
      </c>
    </row>
    <row r="1072" spans="1:8" ht="1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1332</v>
      </c>
    </row>
    <row r="1073" spans="1:8" ht="1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11225</v>
      </c>
    </row>
    <row r="1075" spans="1:8" ht="1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13990</v>
      </c>
    </row>
    <row r="1082" spans="1:8" ht="1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6759</v>
      </c>
    </row>
    <row r="1084" spans="1:8" ht="1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4155</v>
      </c>
    </row>
    <row r="1086" spans="1:8" ht="1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1875</v>
      </c>
    </row>
    <row r="1087" spans="1:8" ht="1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346</v>
      </c>
    </row>
    <row r="1088" spans="1:8" ht="1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948</v>
      </c>
    </row>
    <row r="1089" spans="1:8" ht="1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581</v>
      </c>
    </row>
    <row r="1090" spans="1:8" ht="1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1201</v>
      </c>
    </row>
    <row r="1091" spans="1:8" ht="1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15938</v>
      </c>
    </row>
    <row r="1092" spans="1:8" ht="1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46335</v>
      </c>
    </row>
    <row r="1093" spans="1:8" ht="1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46335</v>
      </c>
    </row>
    <row r="1094" spans="1:8" ht="1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636</v>
      </c>
    </row>
    <row r="1099" spans="1:8" ht="1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636</v>
      </c>
    </row>
    <row r="1100" spans="1:8" ht="1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43062</v>
      </c>
    </row>
    <row r="1107" spans="1:8" ht="1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11473</v>
      </c>
    </row>
    <row r="1108" spans="1:8" ht="1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43698</v>
      </c>
    </row>
    <row r="1109" spans="1:8" ht="1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43698</v>
      </c>
    </row>
    <row r="1137" spans="1:8" ht="1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46255</v>
      </c>
    </row>
    <row r="1297" spans="1:8" ht="1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46255</v>
      </c>
    </row>
    <row r="1301" spans="1:8" ht="1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46255</v>
      </c>
    </row>
    <row r="1327" spans="1:8" ht="1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46255</v>
      </c>
    </row>
    <row r="1331" spans="1:8" ht="1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0">
      <selection activeCell="E64" sqref="E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5378</v>
      </c>
    </row>
    <row r="13" spans="1:8" ht="15">
      <c r="A13" s="89" t="s">
        <v>27</v>
      </c>
      <c r="B13" s="91" t="s">
        <v>28</v>
      </c>
      <c r="C13" s="197">
        <v>32053</v>
      </c>
      <c r="D13" s="197">
        <v>34687</v>
      </c>
      <c r="E13" s="89" t="s">
        <v>846</v>
      </c>
      <c r="F13" s="93" t="s">
        <v>29</v>
      </c>
      <c r="G13" s="197">
        <v>5378</v>
      </c>
      <c r="H13" s="196">
        <v>5378</v>
      </c>
    </row>
    <row r="14" spans="1:8" ht="15">
      <c r="A14" s="89" t="s">
        <v>30</v>
      </c>
      <c r="B14" s="91" t="s">
        <v>31</v>
      </c>
      <c r="C14" s="197">
        <v>2579</v>
      </c>
      <c r="D14" s="197">
        <v>2833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20709</v>
      </c>
      <c r="D16" s="197">
        <v>18494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6719</v>
      </c>
      <c r="D19" s="197">
        <v>6051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62060</v>
      </c>
      <c r="D20" s="598">
        <f>SUM(D12:D19)</f>
        <v>62065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538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2164</v>
      </c>
      <c r="D25" s="196">
        <v>2077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2164</v>
      </c>
      <c r="D28" s="598">
        <f>SUM(D24:D27)</f>
        <v>2077</v>
      </c>
      <c r="E28" s="202" t="s">
        <v>84</v>
      </c>
      <c r="F28" s="93" t="s">
        <v>85</v>
      </c>
      <c r="G28" s="595">
        <f>SUM(G29:G31)</f>
        <v>28835</v>
      </c>
      <c r="H28" s="596">
        <f>SUM(H29:H31)</f>
        <v>21858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28835</v>
      </c>
      <c r="H29" s="197">
        <v>21858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12007</v>
      </c>
      <c r="H32" s="197">
        <v>17732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40842</v>
      </c>
      <c r="H34" s="598">
        <f>H28+H32+H33</f>
        <v>39590</v>
      </c>
    </row>
    <row r="35" spans="1:8" ht="15">
      <c r="A35" s="89" t="s">
        <v>106</v>
      </c>
      <c r="B35" s="94" t="s">
        <v>107</v>
      </c>
      <c r="C35" s="595">
        <f>SUM(C36:C39)</f>
        <v>46255</v>
      </c>
      <c r="D35" s="596">
        <f>SUM(D36:D39)</f>
        <v>46255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46255</v>
      </c>
      <c r="D36" s="196">
        <v>46255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66323</v>
      </c>
      <c r="H37" s="600">
        <f>H26+H18+H34</f>
        <v>65071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24749+12109</f>
        <v>36858</v>
      </c>
      <c r="H45" s="197">
        <v>39789</v>
      </c>
    </row>
    <row r="46" spans="1:13" ht="15.75">
      <c r="A46" s="473" t="s">
        <v>137</v>
      </c>
      <c r="B46" s="96" t="s">
        <v>138</v>
      </c>
      <c r="C46" s="597">
        <f>C35+C40+C45</f>
        <v>46255</v>
      </c>
      <c r="D46" s="598">
        <f>D35+D40+D45</f>
        <v>46255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4845</v>
      </c>
      <c r="D48" s="197">
        <v>6148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6667</v>
      </c>
      <c r="H49" s="197">
        <v>4691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43525</v>
      </c>
      <c r="H50" s="596">
        <f>SUM(H44:H49)</f>
        <v>44480</v>
      </c>
    </row>
    <row r="51" spans="1:8" ht="15">
      <c r="A51" s="89" t="s">
        <v>79</v>
      </c>
      <c r="B51" s="91" t="s">
        <v>155</v>
      </c>
      <c r="C51" s="197">
        <v>380</v>
      </c>
      <c r="D51" s="197">
        <v>380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5225</v>
      </c>
      <c r="D52" s="598">
        <f>SUM(D48:D51)</f>
        <v>6528</v>
      </c>
      <c r="E52" s="201" t="s">
        <v>158</v>
      </c>
      <c r="F52" s="95" t="s">
        <v>159</v>
      </c>
      <c r="G52" s="197">
        <v>173</v>
      </c>
      <c r="H52" s="196">
        <v>258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363</v>
      </c>
      <c r="D55" s="479">
        <v>362</v>
      </c>
      <c r="E55" s="89" t="s">
        <v>168</v>
      </c>
      <c r="F55" s="95" t="s">
        <v>169</v>
      </c>
      <c r="G55" s="197">
        <v>0</v>
      </c>
      <c r="H55" s="196">
        <v>34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116067</v>
      </c>
      <c r="D56" s="602">
        <f>D20+D21+D22+D28+D33+D46+D52+D54+D55</f>
        <v>117287</v>
      </c>
      <c r="E56" s="100" t="s">
        <v>850</v>
      </c>
      <c r="F56" s="99" t="s">
        <v>172</v>
      </c>
      <c r="G56" s="599">
        <f>G50+G52+G53+G54+G55</f>
        <v>43698</v>
      </c>
      <c r="H56" s="600">
        <f>H50+H52+H53+H54+H55</f>
        <v>44772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453</v>
      </c>
      <c r="D59" s="196">
        <v>368</v>
      </c>
      <c r="E59" s="201" t="s">
        <v>180</v>
      </c>
      <c r="F59" s="486" t="s">
        <v>181</v>
      </c>
      <c r="G59" s="197">
        <f>5312+7245</f>
        <v>12557</v>
      </c>
      <c r="H59" s="196">
        <v>12334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17840</v>
      </c>
      <c r="H61" s="596">
        <f>SUM(H62:H68)</f>
        <v>15213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3850+110</f>
        <v>3960</v>
      </c>
      <c r="H62" s="197">
        <v>3330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5584+7+775+31+4104+108-3850-110</f>
        <v>6649</v>
      </c>
      <c r="H64" s="197">
        <v>4801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453</v>
      </c>
      <c r="D65" s="598">
        <f>SUM(D59:D64)</f>
        <v>368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4328-173</f>
        <v>4155</v>
      </c>
      <c r="H66" s="197">
        <v>3611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1201</v>
      </c>
      <c r="H67" s="197">
        <v>1061</v>
      </c>
    </row>
    <row r="68" spans="1:8" ht="15">
      <c r="A68" s="89" t="s">
        <v>206</v>
      </c>
      <c r="B68" s="91" t="s">
        <v>207</v>
      </c>
      <c r="C68" s="197">
        <f>3491+1995+6672</f>
        <v>12158</v>
      </c>
      <c r="D68" s="197">
        <v>9196</v>
      </c>
      <c r="E68" s="89" t="s">
        <v>212</v>
      </c>
      <c r="F68" s="93" t="s">
        <v>213</v>
      </c>
      <c r="G68" s="197">
        <f>346+1529</f>
        <v>1875</v>
      </c>
      <c r="H68" s="197">
        <v>2410</v>
      </c>
    </row>
    <row r="69" spans="1:8" ht="15">
      <c r="A69" s="89" t="s">
        <v>210</v>
      </c>
      <c r="B69" s="91" t="s">
        <v>211</v>
      </c>
      <c r="C69" s="197">
        <f>21991+580-380-6672</f>
        <v>15519</v>
      </c>
      <c r="D69" s="197">
        <v>12446</v>
      </c>
      <c r="E69" s="201" t="s">
        <v>79</v>
      </c>
      <c r="F69" s="93" t="s">
        <v>216</v>
      </c>
      <c r="G69" s="197">
        <f>5206+10732</f>
        <v>15938</v>
      </c>
      <c r="H69" s="197">
        <v>9563</v>
      </c>
    </row>
    <row r="70" spans="1:8" ht="1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46335</v>
      </c>
      <c r="H71" s="598">
        <f>H59+H60+H61+H69+H70</f>
        <v>37110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1838</v>
      </c>
      <c r="D75" s="197">
        <v>1967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29515</v>
      </c>
      <c r="D76" s="598">
        <f>SUM(D68:D75)</f>
        <v>23609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43</v>
      </c>
      <c r="H77" s="479">
        <v>95</v>
      </c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46378</v>
      </c>
      <c r="H79" s="600">
        <f>H71+H73+H75+H77</f>
        <v>37205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218</v>
      </c>
      <c r="D88" s="197">
        <v>552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f>10286+78-218</f>
        <v>10146</v>
      </c>
      <c r="D89" s="197">
        <v>5120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7">
        <v>112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10364</v>
      </c>
      <c r="D92" s="598">
        <f>SUM(D88:D91)</f>
        <v>5784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40332</v>
      </c>
      <c r="D94" s="602">
        <f>D65+D76+D85+D92+D93</f>
        <v>29761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156399</v>
      </c>
      <c r="D95" s="604">
        <f>D94+D56</f>
        <v>147048</v>
      </c>
      <c r="E95" s="229" t="s">
        <v>942</v>
      </c>
      <c r="F95" s="489" t="s">
        <v>268</v>
      </c>
      <c r="G95" s="603">
        <f>G37+G40+G56+G79</f>
        <v>156399</v>
      </c>
      <c r="H95" s="604">
        <f>H37+H40+H56+H79</f>
        <v>147048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3">
        <f>pdeReportingDate</f>
        <v>44035</v>
      </c>
      <c r="C98" s="703"/>
      <c r="D98" s="703"/>
      <c r="E98" s="703"/>
      <c r="F98" s="703"/>
      <c r="G98" s="703"/>
      <c r="H98" s="703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4" t="str">
        <f>authorName</f>
        <v>Стефка Левиджова</v>
      </c>
      <c r="C100" s="704"/>
      <c r="D100" s="704"/>
      <c r="E100" s="704"/>
      <c r="F100" s="704"/>
      <c r="G100" s="704"/>
      <c r="H100" s="704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979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701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D27" sqref="D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3715</v>
      </c>
      <c r="D12" s="316">
        <v>3454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40055</v>
      </c>
      <c r="D13" s="316">
        <f>36209+293+136-2132</f>
        <v>34506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7116</v>
      </c>
      <c r="D14" s="316">
        <v>6488</v>
      </c>
      <c r="E14" s="245" t="s">
        <v>285</v>
      </c>
      <c r="F14" s="240" t="s">
        <v>286</v>
      </c>
      <c r="G14" s="316">
        <v>79916</v>
      </c>
      <c r="H14" s="316">
        <v>66308</v>
      </c>
    </row>
    <row r="15" spans="1:8" ht="15">
      <c r="A15" s="194" t="s">
        <v>287</v>
      </c>
      <c r="B15" s="190" t="s">
        <v>288</v>
      </c>
      <c r="C15" s="316">
        <v>16926</v>
      </c>
      <c r="D15" s="316">
        <v>13190</v>
      </c>
      <c r="E15" s="245" t="s">
        <v>79</v>
      </c>
      <c r="F15" s="240" t="s">
        <v>289</v>
      </c>
      <c r="G15" s="316">
        <v>2339</v>
      </c>
      <c r="H15" s="316">
        <v>2646</v>
      </c>
    </row>
    <row r="16" spans="1:8" ht="15.75">
      <c r="A16" s="194" t="s">
        <v>290</v>
      </c>
      <c r="B16" s="190" t="s">
        <v>291</v>
      </c>
      <c r="C16" s="316">
        <v>2986</v>
      </c>
      <c r="D16" s="316">
        <v>2263</v>
      </c>
      <c r="E16" s="236" t="s">
        <v>52</v>
      </c>
      <c r="F16" s="264" t="s">
        <v>292</v>
      </c>
      <c r="G16" s="628">
        <f>SUM(G12:G15)</f>
        <v>82255</v>
      </c>
      <c r="H16" s="629">
        <f>SUM(H12:H15)</f>
        <v>68954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86</v>
      </c>
      <c r="H18" s="639">
        <v>160</v>
      </c>
    </row>
    <row r="19" spans="1:8" ht="15">
      <c r="A19" s="194" t="s">
        <v>299</v>
      </c>
      <c r="B19" s="190" t="s">
        <v>300</v>
      </c>
      <c r="C19" s="316">
        <v>1391</v>
      </c>
      <c r="D19" s="316">
        <f>829-136+29</f>
        <v>722</v>
      </c>
      <c r="E19" s="194" t="s">
        <v>301</v>
      </c>
      <c r="F19" s="237" t="s">
        <v>302</v>
      </c>
      <c r="G19" s="316">
        <v>86</v>
      </c>
      <c r="H19" s="316">
        <v>160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72189</v>
      </c>
      <c r="D22" s="629">
        <f>SUM(D12:D18)+D19</f>
        <v>60623</v>
      </c>
      <c r="E22" s="194" t="s">
        <v>309</v>
      </c>
      <c r="F22" s="237" t="s">
        <v>310</v>
      </c>
      <c r="G22" s="316">
        <v>167</v>
      </c>
      <c r="H22" s="316">
        <v>336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3491</v>
      </c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843</v>
      </c>
      <c r="D25" s="316">
        <f>475+241</f>
        <v>716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6">
        <v>42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3658</v>
      </c>
      <c r="H27" s="629">
        <f>SUM(H22:H26)</f>
        <v>336</v>
      </c>
    </row>
    <row r="28" spans="1:8" ht="15">
      <c r="A28" s="194" t="s">
        <v>79</v>
      </c>
      <c r="B28" s="237" t="s">
        <v>327</v>
      </c>
      <c r="C28" s="316">
        <v>14</v>
      </c>
      <c r="D28" s="316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857</v>
      </c>
      <c r="D29" s="629">
        <f>SUM(D25:D28)</f>
        <v>767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73046</v>
      </c>
      <c r="D31" s="635">
        <f>D29+D22</f>
        <v>61390</v>
      </c>
      <c r="E31" s="251" t="s">
        <v>824</v>
      </c>
      <c r="F31" s="266" t="s">
        <v>331</v>
      </c>
      <c r="G31" s="253">
        <f>G16+G18+G27</f>
        <v>85999</v>
      </c>
      <c r="H31" s="254">
        <f>H16+H18+H27</f>
        <v>69450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12953</v>
      </c>
      <c r="D33" s="244">
        <f>IF((H31-D31)&gt;0,H31-D31,0)</f>
        <v>8060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73046</v>
      </c>
      <c r="D36" s="637">
        <f>D31-D34+D35</f>
        <v>61390</v>
      </c>
      <c r="E36" s="262" t="s">
        <v>346</v>
      </c>
      <c r="F36" s="256" t="s">
        <v>347</v>
      </c>
      <c r="G36" s="267">
        <f>G35-G34+G31</f>
        <v>85999</v>
      </c>
      <c r="H36" s="268">
        <f>H35-H34+H31</f>
        <v>69450</v>
      </c>
    </row>
    <row r="37" spans="1:8" ht="15.75">
      <c r="A37" s="261" t="s">
        <v>348</v>
      </c>
      <c r="B37" s="231" t="s">
        <v>349</v>
      </c>
      <c r="C37" s="634">
        <f>IF((G36-C36)&gt;0,G36-C36,0)</f>
        <v>12953</v>
      </c>
      <c r="D37" s="635">
        <f>IF((H36-D36)&gt;0,H36-D36,0)</f>
        <v>8060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946</v>
      </c>
      <c r="D38" s="629">
        <f>D39+D40+D41</f>
        <v>806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946</v>
      </c>
      <c r="D39" s="316">
        <v>806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12007</v>
      </c>
      <c r="D42" s="244">
        <f>+IF((H36-D36-D38)&gt;0,H36-D36-D38,0)</f>
        <v>7254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12007</v>
      </c>
      <c r="D44" s="268">
        <f>IF(H42=0,IF(D42-D43&gt;0,D42-D43+H43,0),IF(H42-H43&lt;0,H43-H42+D42,0))</f>
        <v>7254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85999</v>
      </c>
      <c r="D45" s="631">
        <f>D36+D38+D42</f>
        <v>69450</v>
      </c>
      <c r="E45" s="270" t="s">
        <v>373</v>
      </c>
      <c r="F45" s="272" t="s">
        <v>374</v>
      </c>
      <c r="G45" s="630">
        <f>G42+G36</f>
        <v>85999</v>
      </c>
      <c r="H45" s="631">
        <f>H42+H36</f>
        <v>69450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3">
        <f>pdeReportingDate</f>
        <v>44035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4" t="str">
        <f>authorName</f>
        <v>Стефка Левиджова</v>
      </c>
      <c r="C52" s="704"/>
      <c r="D52" s="704"/>
      <c r="E52" s="704"/>
      <c r="F52" s="704"/>
      <c r="G52" s="704"/>
      <c r="H52" s="704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979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">
      <c r="A59" s="695"/>
      <c r="B59" s="702"/>
      <c r="C59" s="702"/>
      <c r="D59" s="702"/>
      <c r="E59" s="702"/>
      <c r="F59" s="574"/>
      <c r="G59" s="45"/>
      <c r="H59" s="42"/>
    </row>
    <row r="60" spans="1:8" ht="15">
      <c r="A60" s="695"/>
      <c r="B60" s="702"/>
      <c r="C60" s="702"/>
      <c r="D60" s="702"/>
      <c r="E60" s="702"/>
      <c r="F60" s="574"/>
      <c r="G60" s="45"/>
      <c r="H60" s="42"/>
    </row>
    <row r="61" spans="1:8" ht="15">
      <c r="A61" s="695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f>96238-110</f>
        <v>96128</v>
      </c>
      <c r="D11" s="197">
        <f>81639+439-837</f>
        <v>81241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-61271-17+514+39+1466</f>
        <v>-59269</v>
      </c>
      <c r="D12" s="197">
        <f>-52720-18+1283</f>
        <v>-51455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f>17-19040</f>
        <v>-19023</v>
      </c>
      <c r="D14" s="197">
        <v>-14485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-6019</v>
      </c>
      <c r="D15" s="197">
        <f>-3153-1242</f>
        <v>-4395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-972</v>
      </c>
      <c r="D16" s="197">
        <v>-1127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f>11-63</f>
        <v>-52</v>
      </c>
      <c r="D19" s="197">
        <f>11-41</f>
        <v>-30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f>571823-567779</f>
        <v>4044</v>
      </c>
      <c r="D20" s="197">
        <f>405573+41237-447720+490</f>
        <v>-420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14837</v>
      </c>
      <c r="D21" s="658">
        <f>SUM(D11:D20)</f>
        <v>9329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-1466</v>
      </c>
      <c r="D23" s="197">
        <v>-1283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110</v>
      </c>
      <c r="D24" s="197">
        <v>837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997</v>
      </c>
      <c r="D26" s="197">
        <v>831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167</v>
      </c>
      <c r="D27" s="197">
        <v>263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-4133</v>
      </c>
      <c r="D28" s="197">
        <v>-5558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-4325</v>
      </c>
      <c r="D33" s="658">
        <f>SUM(D23:D32)</f>
        <v>-4910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>
        <v>787</v>
      </c>
      <c r="E37" s="177"/>
      <c r="F37" s="177"/>
    </row>
    <row r="38" spans="1:6" ht="15">
      <c r="A38" s="277" t="s">
        <v>429</v>
      </c>
      <c r="B38" s="178" t="s">
        <v>430</v>
      </c>
      <c r="C38" s="197">
        <f>-987-522</f>
        <v>-1509</v>
      </c>
      <c r="D38" s="197">
        <v>-1482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-3950</v>
      </c>
      <c r="D39" s="197">
        <v>-3965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f>-441-15-17</f>
        <v>-473</v>
      </c>
      <c r="D40" s="197">
        <f>-281-53</f>
        <v>-334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-5932</v>
      </c>
      <c r="D43" s="660">
        <f>SUM(D35:D42)</f>
        <v>-4994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4580</v>
      </c>
      <c r="D44" s="307">
        <f>D43+D33+D21</f>
        <v>-575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5784</v>
      </c>
      <c r="D45" s="309">
        <v>7412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10364</v>
      </c>
      <c r="D46" s="311">
        <f>D45+D44</f>
        <v>6837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3">
        <f>pdeReportingDate</f>
        <v>44035</v>
      </c>
      <c r="C54" s="703"/>
      <c r="D54" s="703"/>
      <c r="E54" s="703"/>
      <c r="F54" s="696"/>
      <c r="G54" s="696"/>
      <c r="H54" s="696"/>
      <c r="M54" s="98"/>
    </row>
    <row r="55" spans="1:13" s="42" customFormat="1" ht="1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4" t="s">
        <v>8</v>
      </c>
      <c r="B56" s="704" t="str">
        <f>authorName</f>
        <v>Стефка Левиджова</v>
      </c>
      <c r="C56" s="704"/>
      <c r="D56" s="704"/>
      <c r="E56" s="704"/>
      <c r="F56" s="80"/>
      <c r="G56" s="80"/>
      <c r="H56" s="80"/>
    </row>
    <row r="57" spans="1:8" s="42" customFormat="1" ht="1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">
      <c r="A59" s="695"/>
      <c r="B59" s="702" t="s">
        <v>979</v>
      </c>
      <c r="C59" s="702"/>
      <c r="D59" s="702"/>
      <c r="E59" s="702"/>
      <c r="F59" s="574"/>
      <c r="G59" s="45"/>
      <c r="H59" s="42"/>
    </row>
    <row r="60" spans="1:8" ht="1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">
      <c r="A63" s="695"/>
      <c r="B63" s="702"/>
      <c r="C63" s="702"/>
      <c r="D63" s="702"/>
      <c r="E63" s="702"/>
      <c r="F63" s="574"/>
      <c r="G63" s="45"/>
      <c r="H63" s="42"/>
    </row>
    <row r="64" spans="1:8" ht="15">
      <c r="A64" s="695"/>
      <c r="B64" s="702"/>
      <c r="C64" s="702"/>
      <c r="D64" s="702"/>
      <c r="E64" s="702"/>
      <c r="F64" s="574"/>
      <c r="G64" s="45"/>
      <c r="H64" s="42"/>
    </row>
    <row r="65" spans="1:8" ht="15">
      <c r="A65" s="695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7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.7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39590</v>
      </c>
      <c r="J13" s="584">
        <f>'1-Баланс'!H30+'1-Баланс'!H33</f>
        <v>0</v>
      </c>
      <c r="K13" s="585"/>
      <c r="L13" s="584">
        <f>SUM(C13:K13)</f>
        <v>65071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39590</v>
      </c>
      <c r="J17" s="652">
        <f t="shared" si="2"/>
        <v>0</v>
      </c>
      <c r="K17" s="652">
        <f t="shared" si="2"/>
        <v>0</v>
      </c>
      <c r="L17" s="584">
        <f t="shared" si="1"/>
        <v>65071</v>
      </c>
      <c r="M17" s="653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12007</v>
      </c>
      <c r="J18" s="584">
        <f>+'1-Баланс'!G33</f>
        <v>0</v>
      </c>
      <c r="K18" s="585"/>
      <c r="L18" s="584">
        <f t="shared" si="1"/>
        <v>12007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-10755</v>
      </c>
      <c r="J19" s="168">
        <f>J20+J21</f>
        <v>0</v>
      </c>
      <c r="K19" s="168">
        <f t="shared" si="3"/>
        <v>0</v>
      </c>
      <c r="L19" s="584">
        <f t="shared" si="1"/>
        <v>-10755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-10755</v>
      </c>
      <c r="J20" s="316"/>
      <c r="K20" s="316"/>
      <c r="L20" s="584">
        <f>SUM(C20:K20)</f>
        <v>-10755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538</v>
      </c>
      <c r="G31" s="652">
        <f t="shared" si="6"/>
        <v>0</v>
      </c>
      <c r="H31" s="652">
        <f t="shared" si="6"/>
        <v>0</v>
      </c>
      <c r="I31" s="652">
        <f t="shared" si="6"/>
        <v>40842</v>
      </c>
      <c r="J31" s="652">
        <f t="shared" si="6"/>
        <v>0</v>
      </c>
      <c r="K31" s="652">
        <f t="shared" si="6"/>
        <v>0</v>
      </c>
      <c r="L31" s="584">
        <f t="shared" si="1"/>
        <v>66323</v>
      </c>
      <c r="M31" s="653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40842</v>
      </c>
      <c r="J34" s="587">
        <f t="shared" si="7"/>
        <v>0</v>
      </c>
      <c r="K34" s="587">
        <f t="shared" si="7"/>
        <v>0</v>
      </c>
      <c r="L34" s="650">
        <f t="shared" si="1"/>
        <v>66323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3">
        <f>pdeReportingDate</f>
        <v>44035</v>
      </c>
      <c r="C38" s="703"/>
      <c r="D38" s="703"/>
      <c r="E38" s="703"/>
      <c r="F38" s="703"/>
      <c r="G38" s="703"/>
      <c r="H38" s="703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4" t="str">
        <f>authorName</f>
        <v>Стефка Левиджова</v>
      </c>
      <c r="C40" s="704"/>
      <c r="D40" s="704"/>
      <c r="E40" s="704"/>
      <c r="F40" s="704"/>
      <c r="G40" s="704"/>
      <c r="H40" s="704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">
      <c r="A43" s="695"/>
      <c r="B43" s="702" t="s">
        <v>979</v>
      </c>
      <c r="C43" s="702"/>
      <c r="D43" s="702"/>
      <c r="E43" s="702"/>
      <c r="F43" s="574"/>
      <c r="G43" s="45"/>
      <c r="H43" s="42"/>
      <c r="M43" s="169"/>
    </row>
    <row r="44" spans="1:13" ht="1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5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999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">
      <c r="A13" s="678" t="s">
        <v>1000</v>
      </c>
      <c r="B13" s="679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">
      <c r="A14" s="678" t="s">
        <v>1001</v>
      </c>
      <c r="B14" s="679"/>
      <c r="C14" s="92">
        <v>17300</v>
      </c>
      <c r="D14" s="92">
        <v>100</v>
      </c>
      <c r="E14" s="92"/>
      <c r="F14" s="469">
        <f t="shared" si="0"/>
        <v>17300</v>
      </c>
    </row>
    <row r="15" spans="1:6" ht="15">
      <c r="A15" s="678" t="s">
        <v>1002</v>
      </c>
      <c r="B15" s="679"/>
      <c r="C15" s="92">
        <v>16456</v>
      </c>
      <c r="D15" s="92">
        <v>100</v>
      </c>
      <c r="E15" s="92"/>
      <c r="F15" s="469">
        <f t="shared" si="0"/>
        <v>16456</v>
      </c>
    </row>
    <row r="16" spans="1:6" ht="15">
      <c r="A16" s="678" t="s">
        <v>1003</v>
      </c>
      <c r="B16" s="679"/>
      <c r="C16" s="92">
        <v>3352</v>
      </c>
      <c r="D16" s="92">
        <v>100</v>
      </c>
      <c r="E16" s="92"/>
      <c r="F16" s="469">
        <f t="shared" si="0"/>
        <v>3352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46255</v>
      </c>
      <c r="D27" s="472"/>
      <c r="E27" s="472">
        <f>SUM(E12:E26)</f>
        <v>0</v>
      </c>
      <c r="F27" s="472">
        <f>SUM(F12:F26)</f>
        <v>46255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46255</v>
      </c>
      <c r="D79" s="472"/>
      <c r="E79" s="472">
        <f>E78+E61+E44+E27</f>
        <v>0</v>
      </c>
      <c r="F79" s="472">
        <f>F78+F61+F44+F27</f>
        <v>46255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3">
        <f>pdeReportingDate</f>
        <v>44035</v>
      </c>
      <c r="C151" s="703"/>
      <c r="D151" s="703"/>
      <c r="E151" s="703"/>
      <c r="F151" s="703"/>
      <c r="G151" s="703"/>
      <c r="H151" s="703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4" t="str">
        <f>authorName</f>
        <v>Стефка Левиджова</v>
      </c>
      <c r="C153" s="704"/>
      <c r="D153" s="704"/>
      <c r="E153" s="704"/>
      <c r="F153" s="704"/>
      <c r="G153" s="704"/>
      <c r="H153" s="704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">
      <c r="A156" s="695"/>
      <c r="B156" s="702" t="s">
        <v>979</v>
      </c>
      <c r="C156" s="702"/>
      <c r="D156" s="702"/>
      <c r="E156" s="702"/>
      <c r="F156" s="574"/>
      <c r="G156" s="45"/>
      <c r="H156" s="42"/>
    </row>
    <row r="157" spans="1:8" ht="1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">
      <c r="A160" s="695"/>
      <c r="B160" s="702"/>
      <c r="C160" s="702"/>
      <c r="D160" s="702"/>
      <c r="E160" s="702"/>
      <c r="F160" s="574"/>
      <c r="G160" s="45"/>
      <c r="H160" s="42"/>
    </row>
    <row r="161" spans="1:8" ht="15">
      <c r="A161" s="695"/>
      <c r="B161" s="702"/>
      <c r="C161" s="702"/>
      <c r="D161" s="702"/>
      <c r="E161" s="702"/>
      <c r="F161" s="574"/>
      <c r="G161" s="45"/>
      <c r="H161" s="42"/>
    </row>
    <row r="162" spans="1:8" ht="1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1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45395</v>
      </c>
      <c r="E12" s="328">
        <v>79</v>
      </c>
      <c r="F12" s="328"/>
      <c r="G12" s="329">
        <f aca="true" t="shared" si="2" ref="G12:G41">D12+E12-F12</f>
        <v>45474</v>
      </c>
      <c r="H12" s="328"/>
      <c r="I12" s="328"/>
      <c r="J12" s="329">
        <f aca="true" t="shared" si="3" ref="J12:J41">G12+H12-I12</f>
        <v>45474</v>
      </c>
      <c r="K12" s="328">
        <v>10701</v>
      </c>
      <c r="L12" s="328">
        <v>2720</v>
      </c>
      <c r="M12" s="328"/>
      <c r="N12" s="329">
        <f aca="true" t="shared" si="4" ref="N12:N41">K12+L12-M12</f>
        <v>13421</v>
      </c>
      <c r="O12" s="328"/>
      <c r="P12" s="328"/>
      <c r="Q12" s="329">
        <f t="shared" si="0"/>
        <v>13421</v>
      </c>
      <c r="R12" s="340">
        <f t="shared" si="1"/>
        <v>32053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6100</v>
      </c>
      <c r="E13" s="328">
        <v>101</v>
      </c>
      <c r="F13" s="328"/>
      <c r="G13" s="329">
        <f t="shared" si="2"/>
        <v>6201</v>
      </c>
      <c r="H13" s="328"/>
      <c r="I13" s="328"/>
      <c r="J13" s="329">
        <f t="shared" si="3"/>
        <v>6201</v>
      </c>
      <c r="K13" s="328">
        <v>3268</v>
      </c>
      <c r="L13" s="328">
        <v>354</v>
      </c>
      <c r="M13" s="328"/>
      <c r="N13" s="329">
        <f t="shared" si="4"/>
        <v>3622</v>
      </c>
      <c r="O13" s="328"/>
      <c r="P13" s="328"/>
      <c r="Q13" s="329">
        <f t="shared" si="0"/>
        <v>3622</v>
      </c>
      <c r="R13" s="340">
        <f t="shared" si="1"/>
        <v>2579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39457</v>
      </c>
      <c r="E15" s="328">
        <v>5111</v>
      </c>
      <c r="F15" s="328">
        <v>405</v>
      </c>
      <c r="G15" s="700">
        <f>D15+E15-F15</f>
        <v>44163</v>
      </c>
      <c r="H15" s="328"/>
      <c r="I15" s="328"/>
      <c r="J15" s="329">
        <f t="shared" si="3"/>
        <v>44163</v>
      </c>
      <c r="K15" s="328">
        <v>20980</v>
      </c>
      <c r="L15" s="328">
        <v>2860</v>
      </c>
      <c r="M15" s="328">
        <v>386</v>
      </c>
      <c r="N15" s="329">
        <f t="shared" si="4"/>
        <v>23454</v>
      </c>
      <c r="O15" s="328"/>
      <c r="P15" s="328"/>
      <c r="Q15" s="329">
        <f t="shared" si="0"/>
        <v>23454</v>
      </c>
      <c r="R15" s="340">
        <f t="shared" si="1"/>
        <v>20709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13714</v>
      </c>
      <c r="E18" s="328">
        <v>1507</v>
      </c>
      <c r="F18" s="328">
        <v>151</v>
      </c>
      <c r="G18" s="329">
        <f t="shared" si="2"/>
        <v>15070</v>
      </c>
      <c r="H18" s="328"/>
      <c r="I18" s="328"/>
      <c r="J18" s="329">
        <f t="shared" si="3"/>
        <v>15070</v>
      </c>
      <c r="K18" s="328">
        <v>7652</v>
      </c>
      <c r="L18" s="328">
        <v>699</v>
      </c>
      <c r="M18" s="328"/>
      <c r="N18" s="329">
        <f t="shared" si="4"/>
        <v>8351</v>
      </c>
      <c r="O18" s="328"/>
      <c r="P18" s="328"/>
      <c r="Q18" s="329">
        <f t="shared" si="0"/>
        <v>8351</v>
      </c>
      <c r="R18" s="340">
        <f t="shared" si="1"/>
        <v>6719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104666</v>
      </c>
      <c r="E19" s="330">
        <f>SUM(E11:E18)</f>
        <v>6798</v>
      </c>
      <c r="F19" s="330">
        <f>SUM(F11:F18)</f>
        <v>556</v>
      </c>
      <c r="G19" s="329">
        <f>D19+E19-F19</f>
        <v>110908</v>
      </c>
      <c r="H19" s="330">
        <f>SUM(H11:H18)</f>
        <v>0</v>
      </c>
      <c r="I19" s="330">
        <f>SUM(I11:I18)</f>
        <v>0</v>
      </c>
      <c r="J19" s="329">
        <f t="shared" si="3"/>
        <v>110908</v>
      </c>
      <c r="K19" s="330">
        <f>SUM(K11:K18)</f>
        <v>42601</v>
      </c>
      <c r="L19" s="330">
        <f>SUM(L11:L18)</f>
        <v>6633</v>
      </c>
      <c r="M19" s="330">
        <f>SUM(M11:M18)</f>
        <v>386</v>
      </c>
      <c r="N19" s="329">
        <f t="shared" si="4"/>
        <v>48848</v>
      </c>
      <c r="O19" s="330">
        <f>SUM(O11:O18)</f>
        <v>0</v>
      </c>
      <c r="P19" s="330">
        <f>SUM(P11:P18)</f>
        <v>0</v>
      </c>
      <c r="Q19" s="329">
        <f t="shared" si="0"/>
        <v>48848</v>
      </c>
      <c r="R19" s="340">
        <f t="shared" si="1"/>
        <v>62060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7965</v>
      </c>
      <c r="E24" s="328">
        <v>570</v>
      </c>
      <c r="F24" s="328">
        <v>0</v>
      </c>
      <c r="G24" s="329">
        <f t="shared" si="2"/>
        <v>8535</v>
      </c>
      <c r="H24" s="328"/>
      <c r="I24" s="328"/>
      <c r="J24" s="329">
        <f t="shared" si="3"/>
        <v>8535</v>
      </c>
      <c r="K24" s="328">
        <v>5888</v>
      </c>
      <c r="L24" s="328">
        <v>483</v>
      </c>
      <c r="M24" s="328"/>
      <c r="N24" s="329">
        <f t="shared" si="4"/>
        <v>6371</v>
      </c>
      <c r="O24" s="328"/>
      <c r="P24" s="328"/>
      <c r="Q24" s="329">
        <f t="shared" si="0"/>
        <v>6371</v>
      </c>
      <c r="R24" s="340">
        <f t="shared" si="1"/>
        <v>2164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7965</v>
      </c>
      <c r="E27" s="332">
        <f aca="true" t="shared" si="5" ref="E27:P27">SUM(E23:E26)</f>
        <v>570</v>
      </c>
      <c r="F27" s="332">
        <f t="shared" si="5"/>
        <v>0</v>
      </c>
      <c r="G27" s="333">
        <f t="shared" si="2"/>
        <v>8535</v>
      </c>
      <c r="H27" s="332">
        <f t="shared" si="5"/>
        <v>0</v>
      </c>
      <c r="I27" s="332">
        <f t="shared" si="5"/>
        <v>0</v>
      </c>
      <c r="J27" s="333">
        <f t="shared" si="3"/>
        <v>8535</v>
      </c>
      <c r="K27" s="332">
        <f t="shared" si="5"/>
        <v>5888</v>
      </c>
      <c r="L27" s="332">
        <f t="shared" si="5"/>
        <v>483</v>
      </c>
      <c r="M27" s="332">
        <f t="shared" si="5"/>
        <v>0</v>
      </c>
      <c r="N27" s="333">
        <f t="shared" si="4"/>
        <v>6371</v>
      </c>
      <c r="O27" s="332">
        <f t="shared" si="5"/>
        <v>0</v>
      </c>
      <c r="P27" s="332">
        <f t="shared" si="5"/>
        <v>0</v>
      </c>
      <c r="Q27" s="333">
        <f t="shared" si="0"/>
        <v>6371</v>
      </c>
      <c r="R27" s="343">
        <f t="shared" si="1"/>
        <v>2164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46255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46255</v>
      </c>
      <c r="H29" s="335">
        <f t="shared" si="6"/>
        <v>0</v>
      </c>
      <c r="I29" s="335">
        <f t="shared" si="6"/>
        <v>0</v>
      </c>
      <c r="J29" s="336">
        <f t="shared" si="3"/>
        <v>46255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46255</v>
      </c>
    </row>
    <row r="30" spans="1:18" ht="15">
      <c r="A30" s="339"/>
      <c r="B30" s="321" t="s">
        <v>108</v>
      </c>
      <c r="C30" s="152" t="s">
        <v>563</v>
      </c>
      <c r="D30" s="328">
        <v>46255</v>
      </c>
      <c r="E30" s="328"/>
      <c r="F30" s="328"/>
      <c r="G30" s="329">
        <f t="shared" si="2"/>
        <v>46255</v>
      </c>
      <c r="H30" s="328"/>
      <c r="I30" s="328"/>
      <c r="J30" s="329">
        <f t="shared" si="3"/>
        <v>46255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46255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46255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46255</v>
      </c>
      <c r="H40" s="330">
        <f t="shared" si="10"/>
        <v>0</v>
      </c>
      <c r="I40" s="330">
        <f t="shared" si="10"/>
        <v>0</v>
      </c>
      <c r="J40" s="329">
        <f t="shared" si="3"/>
        <v>46255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46255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158886</v>
      </c>
      <c r="E42" s="349">
        <f>E19+E20+E21+E27+E40+E41</f>
        <v>7368</v>
      </c>
      <c r="F42" s="349">
        <f aca="true" t="shared" si="11" ref="F42:R42">F19+F20+F21+F27+F40+F41</f>
        <v>556</v>
      </c>
      <c r="G42" s="349">
        <f t="shared" si="11"/>
        <v>165698</v>
      </c>
      <c r="H42" s="349">
        <f t="shared" si="11"/>
        <v>0</v>
      </c>
      <c r="I42" s="349">
        <f t="shared" si="11"/>
        <v>0</v>
      </c>
      <c r="J42" s="349">
        <f t="shared" si="11"/>
        <v>165698</v>
      </c>
      <c r="K42" s="349">
        <f t="shared" si="11"/>
        <v>48489</v>
      </c>
      <c r="L42" s="349">
        <f t="shared" si="11"/>
        <v>7116</v>
      </c>
      <c r="M42" s="349">
        <f t="shared" si="11"/>
        <v>386</v>
      </c>
      <c r="N42" s="349">
        <f t="shared" si="11"/>
        <v>55219</v>
      </c>
      <c r="O42" s="349">
        <f t="shared" si="11"/>
        <v>0</v>
      </c>
      <c r="P42" s="349">
        <f t="shared" si="11"/>
        <v>0</v>
      </c>
      <c r="Q42" s="349">
        <f t="shared" si="11"/>
        <v>55219</v>
      </c>
      <c r="R42" s="350">
        <f t="shared" si="11"/>
        <v>110479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3">
        <f>pdeReportingDate</f>
        <v>44035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4" t="str">
        <f>authorName</f>
        <v>Стефка Левиджова</v>
      </c>
      <c r="D47" s="704"/>
      <c r="E47" s="704"/>
      <c r="F47" s="704"/>
      <c r="G47" s="704"/>
      <c r="H47" s="704"/>
      <c r="I47" s="704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">
      <c r="B50" s="695"/>
      <c r="C50" s="702" t="s">
        <v>979</v>
      </c>
      <c r="D50" s="702"/>
      <c r="E50" s="702"/>
      <c r="F50" s="702"/>
      <c r="G50" s="574"/>
      <c r="H50" s="45"/>
      <c r="I50" s="42"/>
    </row>
    <row r="51" spans="2:9" ht="1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">
      <c r="B54" s="695"/>
      <c r="C54" s="702"/>
      <c r="D54" s="702"/>
      <c r="E54" s="702"/>
      <c r="F54" s="702"/>
      <c r="G54" s="574"/>
      <c r="H54" s="45"/>
      <c r="I54" s="42"/>
    </row>
    <row r="55" spans="2:9" ht="15">
      <c r="B55" s="695"/>
      <c r="C55" s="702"/>
      <c r="D55" s="702"/>
      <c r="E55" s="702"/>
      <c r="F55" s="702"/>
      <c r="G55" s="574"/>
      <c r="H55" s="45"/>
      <c r="I55" s="42"/>
    </row>
    <row r="56" spans="2:9" ht="15">
      <c r="B56" s="695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31">
      <selection activeCell="D31" sqref="D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>
        <v>4845</v>
      </c>
      <c r="D17" s="368">
        <v>0</v>
      </c>
      <c r="E17" s="369">
        <f t="shared" si="0"/>
        <v>4845</v>
      </c>
      <c r="F17" s="133"/>
    </row>
    <row r="18" spans="1:6" ht="15">
      <c r="A18" s="370" t="s">
        <v>604</v>
      </c>
      <c r="B18" s="135" t="s">
        <v>605</v>
      </c>
      <c r="C18" s="362">
        <f>+C19+C20</f>
        <v>380</v>
      </c>
      <c r="D18" s="362">
        <f>+D19+D20</f>
        <v>0</v>
      </c>
      <c r="E18" s="369">
        <f t="shared" si="0"/>
        <v>380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380</v>
      </c>
      <c r="D20" s="368"/>
      <c r="E20" s="369">
        <f t="shared" si="0"/>
        <v>380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5225</v>
      </c>
      <c r="D21" s="440">
        <f>D13+D17+D18</f>
        <v>0</v>
      </c>
      <c r="E21" s="441">
        <f>E13+E17+E18</f>
        <v>5225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416</v>
      </c>
      <c r="D23" s="443">
        <v>416</v>
      </c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12158</v>
      </c>
      <c r="D26" s="362">
        <f>SUM(D27:D29)</f>
        <v>12158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1995</v>
      </c>
      <c r="D27" s="368">
        <v>1995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6672</v>
      </c>
      <c r="D28" s="368">
        <v>6672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3491</v>
      </c>
      <c r="D29" s="368">
        <v>3491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15519</v>
      </c>
      <c r="D30" s="368">
        <v>15519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1838</v>
      </c>
      <c r="D40" s="362">
        <f>SUM(D41:D44)</f>
        <v>1838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1838</v>
      </c>
      <c r="D44" s="368">
        <v>1838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29515</v>
      </c>
      <c r="D45" s="438">
        <f>D26+D30+D31+D33+D32+D34+D35+D40</f>
        <v>29515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35156</v>
      </c>
      <c r="D46" s="444">
        <f>D45+D23+D21+D11</f>
        <v>29931</v>
      </c>
      <c r="E46" s="445">
        <f>E45+E23+E21+E11</f>
        <v>5225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636</v>
      </c>
      <c r="D58" s="138">
        <f>D59+D61</f>
        <v>0</v>
      </c>
      <c r="E58" s="136">
        <f t="shared" si="1"/>
        <v>636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636</v>
      </c>
      <c r="D59" s="197"/>
      <c r="E59" s="136">
        <f t="shared" si="1"/>
        <v>636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43062</v>
      </c>
      <c r="D66" s="197"/>
      <c r="E66" s="136">
        <f t="shared" si="1"/>
        <v>43062</v>
      </c>
      <c r="F66" s="196"/>
    </row>
    <row r="67" spans="1:6" ht="15">
      <c r="A67" s="370" t="s">
        <v>684</v>
      </c>
      <c r="B67" s="135" t="s">
        <v>685</v>
      </c>
      <c r="C67" s="197">
        <v>11473</v>
      </c>
      <c r="D67" s="197"/>
      <c r="E67" s="136">
        <f t="shared" si="1"/>
        <v>11473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43698</v>
      </c>
      <c r="D68" s="435">
        <f>D54+D58+D63+D64+D65+D66</f>
        <v>0</v>
      </c>
      <c r="E68" s="436">
        <f t="shared" si="1"/>
        <v>43698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3850</v>
      </c>
      <c r="D73" s="137">
        <f>SUM(D74:D76)</f>
        <v>3850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3850</v>
      </c>
      <c r="D74" s="197">
        <v>3850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12557</v>
      </c>
      <c r="D77" s="138">
        <f>D78+D80</f>
        <v>12557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1332</v>
      </c>
      <c r="D78" s="197">
        <v>1332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>
        <v>11225</v>
      </c>
      <c r="D80" s="197">
        <v>11225</v>
      </c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13990</v>
      </c>
      <c r="D87" s="134">
        <f>SUM(D88:D92)+D96</f>
        <v>13990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6759</v>
      </c>
      <c r="D89" s="197">
        <v>6759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4155</v>
      </c>
      <c r="D91" s="197">
        <v>4155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1875</v>
      </c>
      <c r="D92" s="138">
        <f>SUM(D93:D95)</f>
        <v>1875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346</v>
      </c>
      <c r="D93" s="197">
        <v>346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948</v>
      </c>
      <c r="D94" s="197">
        <v>948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581</v>
      </c>
      <c r="D95" s="197">
        <v>581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1201</v>
      </c>
      <c r="D96" s="197">
        <v>1201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15938</v>
      </c>
      <c r="D97" s="197">
        <v>15938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46335</v>
      </c>
      <c r="D98" s="433">
        <f>D87+D82+D77+D73+D97</f>
        <v>46335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90033</v>
      </c>
      <c r="D99" s="427">
        <f>D98+D70+D68</f>
        <v>46335</v>
      </c>
      <c r="E99" s="427">
        <f>E98+E70+E68</f>
        <v>43698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3">
        <f>pdeReportingDate</f>
        <v>44035</v>
      </c>
      <c r="C111" s="703"/>
      <c r="D111" s="703"/>
      <c r="E111" s="703"/>
      <c r="F111" s="703"/>
      <c r="G111" s="52"/>
      <c r="H111" s="52"/>
    </row>
    <row r="112" spans="1:8" ht="15">
      <c r="A112" s="693"/>
      <c r="B112" s="703"/>
      <c r="C112" s="703"/>
      <c r="D112" s="703"/>
      <c r="E112" s="703"/>
      <c r="F112" s="703"/>
      <c r="G112" s="52"/>
      <c r="H112" s="52"/>
    </row>
    <row r="113" spans="1:8" ht="15">
      <c r="A113" s="694" t="s">
        <v>8</v>
      </c>
      <c r="B113" s="704" t="str">
        <f>authorName</f>
        <v>Стефка Левиджова</v>
      </c>
      <c r="C113" s="704"/>
      <c r="D113" s="704"/>
      <c r="E113" s="704"/>
      <c r="F113" s="704"/>
      <c r="G113" s="80"/>
      <c r="H113" s="80"/>
    </row>
    <row r="114" spans="1:8" ht="15">
      <c r="A114" s="694"/>
      <c r="B114" s="704"/>
      <c r="C114" s="704"/>
      <c r="D114" s="704"/>
      <c r="E114" s="704"/>
      <c r="F114" s="704"/>
      <c r="G114" s="80"/>
      <c r="H114" s="80"/>
    </row>
    <row r="115" spans="1:8" ht="1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979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">
      <c r="A120" s="695"/>
      <c r="B120" s="702"/>
      <c r="C120" s="702"/>
      <c r="D120" s="702"/>
      <c r="E120" s="702"/>
      <c r="F120" s="702"/>
      <c r="G120" s="695"/>
      <c r="H120" s="695"/>
    </row>
    <row r="121" spans="1:8" ht="15">
      <c r="A121" s="695"/>
      <c r="B121" s="702"/>
      <c r="C121" s="702"/>
      <c r="D121" s="702"/>
      <c r="E121" s="702"/>
      <c r="F121" s="702"/>
      <c r="G121" s="695"/>
      <c r="H121" s="695"/>
    </row>
    <row r="122" spans="1:8" ht="1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18" sqref="M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3">
        <f>pdeReportingDate</f>
        <v>44035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4" t="s">
        <v>8</v>
      </c>
      <c r="B33" s="704" t="str">
        <f>authorName</f>
        <v>Стефка Левиджова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">
      <c r="A35" s="694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5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2020-07-24T13:02:04Z</cp:lastPrinted>
  <dcterms:created xsi:type="dcterms:W3CDTF">2006-09-16T00:00:00Z</dcterms:created>
  <dcterms:modified xsi:type="dcterms:W3CDTF">2020-07-24T16:02:22Z</dcterms:modified>
  <cp:category/>
  <cp:version/>
  <cp:contentType/>
  <cp:contentStatus/>
</cp:coreProperties>
</file>