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736" tabRatio="77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<sst xmlns="http://schemas.openxmlformats.org/spreadsheetml/2006/main" count="1999" uniqueCount="697">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</sst>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">
      <c r="A2" s="465" t="s">
        <v>680</v>
      </c>
      <c r="B2" s="460"/>
      <c r="Z2" s="477">
        <v>2</v>
      </c>
      <c r="AA2" s="478">
        <f>IF(ISBLANK(_pdeReportingDate),"",_pdeReportingDate)</f>
        <v>44221</v>
      </c>
    </row>
    <row r="3" spans="1:27" ht="15">
      <c r="A3" s="461" t="s">
        <v>655</v>
      </c>
      <c r="B3" s="462"/>
      <c r="Z3" s="477">
        <v>3</v>
      </c>
      <c r="AA3" s="478" t="str">
        <f>IF(ISBLANK(_authorName),"",_authorName)</f>
        <v>Стефка Левиджова</v>
      </c>
    </row>
    <row r="4" spans="1:2" ht="15">
      <c r="A4" s="459" t="s">
        <v>681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43831</v>
      </c>
    </row>
    <row r="10" spans="1:2" ht="15">
      <c r="A10" s="7" t="s">
        <v>2</v>
      </c>
      <c r="B10" s="357">
        <v>44196</v>
      </c>
    </row>
    <row r="11" spans="1:2" ht="15">
      <c r="A11" s="7" t="s">
        <v>668</v>
      </c>
      <c r="B11" s="357">
        <v>44221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7" t="s">
        <v>687</v>
      </c>
    </row>
    <row r="24" spans="1:2" ht="15">
      <c r="A24" s="10" t="s">
        <v>612</v>
      </c>
      <c r="B24" s="468" t="s">
        <v>688</v>
      </c>
    </row>
    <row r="25" spans="1:2" ht="15">
      <c r="A25" s="7" t="s">
        <v>615</v>
      </c>
      <c r="B25" s="469" t="s">
        <v>689</v>
      </c>
    </row>
    <row r="26" spans="1:2" ht="15">
      <c r="A26" s="10" t="s">
        <v>661</v>
      </c>
      <c r="B26" s="358" t="s">
        <v>690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7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31826</v>
      </c>
      <c r="D13" s="138">
        <v>34687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2821</v>
      </c>
      <c r="D14" s="138">
        <v>2833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20827</v>
      </c>
      <c r="D16" s="138">
        <v>18494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6867</v>
      </c>
      <c r="D19" s="138">
        <v>6051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62341</v>
      </c>
      <c r="D20" s="377">
        <f>SUM(D12:D19)</f>
        <v>62065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2450</v>
      </c>
      <c r="D25" s="137">
        <v>2077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2450</v>
      </c>
      <c r="D28" s="377">
        <f>SUM(D24:D27)</f>
        <v>2077</v>
      </c>
      <c r="E28" s="143" t="s">
        <v>84</v>
      </c>
      <c r="F28" s="80" t="s">
        <v>85</v>
      </c>
      <c r="G28" s="374">
        <f>SUM(G29:G31)</f>
        <v>28835</v>
      </c>
      <c r="H28" s="375">
        <f>SUM(H29:H31)</f>
        <v>21858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28835</v>
      </c>
      <c r="H29" s="138">
        <v>21858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25351</v>
      </c>
      <c r="H32" s="138">
        <v>17732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54186</v>
      </c>
      <c r="H34" s="377">
        <f>H28+H32+H33</f>
        <v>39590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79667</v>
      </c>
      <c r="H37" s="379">
        <f>H26+H18+H34</f>
        <v>65071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35741</v>
      </c>
      <c r="H45" s="138">
        <v>39789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">
      <c r="A48" s="76" t="s">
        <v>144</v>
      </c>
      <c r="B48" s="78" t="s">
        <v>145</v>
      </c>
      <c r="C48" s="138">
        <v>1917</v>
      </c>
      <c r="D48" s="138">
        <v>6148</v>
      </c>
      <c r="E48" s="142" t="s">
        <v>146</v>
      </c>
      <c r="F48" s="80" t="s">
        <v>147</v>
      </c>
      <c r="G48" s="138"/>
      <c r="H48" s="138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1760</v>
      </c>
      <c r="H49" s="138">
        <v>4691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37501</v>
      </c>
      <c r="H50" s="375">
        <f>SUM(H44:H49)</f>
        <v>44480</v>
      </c>
    </row>
    <row r="51" spans="1:8" ht="15">
      <c r="A51" s="76" t="s">
        <v>79</v>
      </c>
      <c r="B51" s="78" t="s">
        <v>155</v>
      </c>
      <c r="C51" s="138">
        <v>327</v>
      </c>
      <c r="D51" s="138">
        <v>380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2244</v>
      </c>
      <c r="D52" s="377">
        <f>SUM(D48:D51)</f>
        <v>6528</v>
      </c>
      <c r="E52" s="142" t="s">
        <v>158</v>
      </c>
      <c r="F52" s="82" t="s">
        <v>159</v>
      </c>
      <c r="G52" s="138">
        <v>173</v>
      </c>
      <c r="H52" s="137">
        <v>258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363</v>
      </c>
      <c r="D55" s="270">
        <v>362</v>
      </c>
      <c r="E55" s="76" t="s">
        <v>168</v>
      </c>
      <c r="F55" s="82" t="s">
        <v>169</v>
      </c>
      <c r="G55" s="138"/>
      <c r="H55" s="137">
        <v>34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113653</v>
      </c>
      <c r="D56" s="381">
        <f>D20+D21+D22+D28+D33+D46+D52+D54+D55</f>
        <v>117287</v>
      </c>
      <c r="E56" s="87" t="s">
        <v>557</v>
      </c>
      <c r="F56" s="86" t="s">
        <v>172</v>
      </c>
      <c r="G56" s="378">
        <f>G50+G52+G53+G54+G55</f>
        <v>37674</v>
      </c>
      <c r="H56" s="379">
        <f>H50+H52+H53+H54+H55</f>
        <v>44772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327</v>
      </c>
      <c r="D59" s="137">
        <v>368</v>
      </c>
      <c r="E59" s="142" t="s">
        <v>180</v>
      </c>
      <c r="F59" s="277" t="s">
        <v>181</v>
      </c>
      <c r="G59" s="138">
        <f>12567+1526</f>
        <v>14093</v>
      </c>
      <c r="H59" s="137">
        <v>12334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18790</v>
      </c>
      <c r="H61" s="375">
        <f>SUM(H62:H68)</f>
        <v>15213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2584+110</f>
        <v>2694</v>
      </c>
      <c r="H62" s="138">
        <v>3330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6938</v>
      </c>
      <c r="H64" s="138">
        <v>4801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327</v>
      </c>
      <c r="D65" s="377">
        <f>SUM(D59:D64)</f>
        <v>368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5031</v>
      </c>
      <c r="H66" s="138">
        <v>3611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1364</v>
      </c>
      <c r="H67" s="138">
        <v>1061</v>
      </c>
    </row>
    <row r="68" spans="1:8" ht="15">
      <c r="A68" s="76" t="s">
        <v>206</v>
      </c>
      <c r="B68" s="78" t="s">
        <v>207</v>
      </c>
      <c r="C68" s="138">
        <f>4152+1995</f>
        <v>6147</v>
      </c>
      <c r="D68" s="138">
        <v>9196</v>
      </c>
      <c r="E68" s="76" t="s">
        <v>212</v>
      </c>
      <c r="F68" s="80" t="s">
        <v>213</v>
      </c>
      <c r="G68" s="138">
        <v>2763</v>
      </c>
      <c r="H68" s="138">
        <v>2410</v>
      </c>
    </row>
    <row r="69" spans="1:8" ht="15">
      <c r="A69" s="76" t="s">
        <v>210</v>
      </c>
      <c r="B69" s="78" t="s">
        <v>211</v>
      </c>
      <c r="C69" s="138">
        <f>10017-327-4152+13037-925-64+748</f>
        <v>18334</v>
      </c>
      <c r="D69" s="138">
        <v>12446</v>
      </c>
      <c r="E69" s="142" t="s">
        <v>79</v>
      </c>
      <c r="F69" s="80" t="s">
        <v>216</v>
      </c>
      <c r="G69" s="138">
        <f>9997</f>
        <v>9997</v>
      </c>
      <c r="H69" s="138">
        <v>9563</v>
      </c>
    </row>
    <row r="70" spans="1:8" ht="1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42880</v>
      </c>
      <c r="H71" s="377">
        <f>H59+H60+H61+H69+H70</f>
        <v>37110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2761-1559+1039+978</f>
        <v>3219</v>
      </c>
      <c r="D75" s="138">
        <v>1967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27700</v>
      </c>
      <c r="D76" s="377">
        <f>SUM(D68:D75)</f>
        <v>23609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34</v>
      </c>
      <c r="H77" s="270">
        <v>95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42914</v>
      </c>
      <c r="H79" s="379">
        <f>H71+H73+H75+H77</f>
        <v>37205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786</v>
      </c>
      <c r="D88" s="138">
        <v>552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f>18575-786</f>
        <v>17789</v>
      </c>
      <c r="D89" s="138">
        <v>5120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>
        <v>112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18575</v>
      </c>
      <c r="D92" s="377">
        <f>SUM(D88:D91)</f>
        <v>5784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46602</v>
      </c>
      <c r="D94" s="381">
        <f>D65+D76+D85+D92+D93</f>
        <v>29761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160255</v>
      </c>
      <c r="D95" s="383">
        <f>D94+D56</f>
        <v>147048</v>
      </c>
      <c r="E95" s="169" t="s">
        <v>635</v>
      </c>
      <c r="F95" s="280" t="s">
        <v>268</v>
      </c>
      <c r="G95" s="382">
        <f>G37+G40+G56+G79</f>
        <v>160255</v>
      </c>
      <c r="H95" s="383">
        <f>H37+H40+H56+H79</f>
        <v>147048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668</v>
      </c>
      <c r="B98" s="480">
        <f>pdeReportingDate</f>
        <v>44221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Стефка Левиджова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7874</v>
      </c>
      <c r="D12" s="256">
        <v>7064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87440</v>
      </c>
      <c r="D13" s="256">
        <v>72170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14593</v>
      </c>
      <c r="D14" s="256">
        <v>13434</v>
      </c>
      <c r="E14" s="185" t="s">
        <v>285</v>
      </c>
      <c r="F14" s="180" t="s">
        <v>286</v>
      </c>
      <c r="G14" s="256">
        <v>174720</v>
      </c>
      <c r="H14" s="256">
        <v>142435</v>
      </c>
    </row>
    <row r="15" spans="1:8" ht="15">
      <c r="A15" s="135" t="s">
        <v>287</v>
      </c>
      <c r="B15" s="131" t="s">
        <v>288</v>
      </c>
      <c r="C15" s="256">
        <v>36465</v>
      </c>
      <c r="D15" s="256">
        <v>28163</v>
      </c>
      <c r="E15" s="185" t="s">
        <v>79</v>
      </c>
      <c r="F15" s="180" t="s">
        <v>289</v>
      </c>
      <c r="G15" s="256">
        <v>5428</v>
      </c>
      <c r="H15" s="256">
        <v>6354</v>
      </c>
    </row>
    <row r="16" spans="1:8" ht="15.75">
      <c r="A16" s="135" t="s">
        <v>290</v>
      </c>
      <c r="B16" s="131" t="s">
        <v>291</v>
      </c>
      <c r="C16" s="256">
        <v>6393</v>
      </c>
      <c r="D16" s="256">
        <v>4903</v>
      </c>
      <c r="E16" s="176" t="s">
        <v>52</v>
      </c>
      <c r="F16" s="204" t="s">
        <v>292</v>
      </c>
      <c r="G16" s="407">
        <f>SUM(G12:G15)</f>
        <v>180148</v>
      </c>
      <c r="H16" s="408">
        <f>SUM(H12:H15)</f>
        <v>148789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95</v>
      </c>
      <c r="H18" s="418">
        <v>310</v>
      </c>
    </row>
    <row r="19" spans="1:8" ht="15">
      <c r="A19" s="135" t="s">
        <v>299</v>
      </c>
      <c r="B19" s="131" t="s">
        <v>300</v>
      </c>
      <c r="C19" s="256">
        <v>3440</v>
      </c>
      <c r="D19" s="256">
        <v>2094</v>
      </c>
      <c r="E19" s="135" t="s">
        <v>301</v>
      </c>
      <c r="F19" s="177" t="s">
        <v>302</v>
      </c>
      <c r="G19" s="256">
        <v>95</v>
      </c>
      <c r="H19" s="256">
        <v>310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156205</v>
      </c>
      <c r="D22" s="408">
        <f>SUM(D12:D18)+D19</f>
        <v>127828</v>
      </c>
      <c r="E22" s="135" t="s">
        <v>309</v>
      </c>
      <c r="F22" s="177" t="s">
        <v>310</v>
      </c>
      <c r="G22" s="256">
        <v>294</v>
      </c>
      <c r="H22" s="256">
        <v>420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4925</v>
      </c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0.75">
      <c r="A25" s="135" t="s">
        <v>316</v>
      </c>
      <c r="B25" s="177" t="s">
        <v>317</v>
      </c>
      <c r="C25" s="256">
        <v>1611</v>
      </c>
      <c r="D25" s="256">
        <v>1921</v>
      </c>
      <c r="E25" s="135" t="s">
        <v>318</v>
      </c>
      <c r="F25" s="177" t="s">
        <v>319</v>
      </c>
      <c r="G25" s="256"/>
      <c r="H25" s="256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0.7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5219</v>
      </c>
      <c r="H27" s="408">
        <f>SUM(H22:H26)</f>
        <v>420</v>
      </c>
    </row>
    <row r="28" spans="1:8" ht="15">
      <c r="A28" s="135" t="s">
        <v>79</v>
      </c>
      <c r="B28" s="177" t="s">
        <v>327</v>
      </c>
      <c r="C28" s="256">
        <v>25</v>
      </c>
      <c r="D28" s="256">
        <v>53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1636</v>
      </c>
      <c r="D29" s="408">
        <f>SUM(D25:D28)</f>
        <v>1974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157841</v>
      </c>
      <c r="D31" s="414">
        <f>D29+D22</f>
        <v>129802</v>
      </c>
      <c r="E31" s="191" t="s">
        <v>548</v>
      </c>
      <c r="F31" s="206" t="s">
        <v>331</v>
      </c>
      <c r="G31" s="193">
        <f>G16+G18+G27</f>
        <v>185462</v>
      </c>
      <c r="H31" s="194">
        <f>H16+H18+H27</f>
        <v>149519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27621</v>
      </c>
      <c r="D33" s="184">
        <f>IF((H31-D31)&gt;0,H31-D31,0)</f>
        <v>19717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157841</v>
      </c>
      <c r="D36" s="416">
        <f>D31-D34+D35</f>
        <v>129802</v>
      </c>
      <c r="E36" s="202" t="s">
        <v>346</v>
      </c>
      <c r="F36" s="196" t="s">
        <v>347</v>
      </c>
      <c r="G36" s="207">
        <f>G35-G34+G31</f>
        <v>185462</v>
      </c>
      <c r="H36" s="208">
        <f>H35-H34+H31</f>
        <v>149519</v>
      </c>
    </row>
    <row r="37" spans="1:8" ht="15.75">
      <c r="A37" s="201" t="s">
        <v>348</v>
      </c>
      <c r="B37" s="171" t="s">
        <v>349</v>
      </c>
      <c r="C37" s="413">
        <f>IF((G36-C36)&gt;0,G36-C36,0)</f>
        <v>27621</v>
      </c>
      <c r="D37" s="414">
        <f>IF((H36-D36)&gt;0,H36-D36,0)</f>
        <v>19717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2270</v>
      </c>
      <c r="D38" s="408">
        <f>D39+D40+D41</f>
        <v>1985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2270</v>
      </c>
      <c r="D39" s="256">
        <v>1985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25351</v>
      </c>
      <c r="D42" s="184">
        <f>+IF((H36-D36-D38)&gt;0,H36-D36-D38,0)</f>
        <v>17732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25351</v>
      </c>
      <c r="D44" s="208">
        <f>IF(H42=0,IF(D42-D43&gt;0,D42-D43+H43,0),IF(H42-H43&lt;0,H43-H42+D42,0))</f>
        <v>17732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185462</v>
      </c>
      <c r="D45" s="410">
        <f>D36+D38+D42</f>
        <v>149519</v>
      </c>
      <c r="E45" s="210" t="s">
        <v>373</v>
      </c>
      <c r="F45" s="212" t="s">
        <v>374</v>
      </c>
      <c r="G45" s="409">
        <f>G42+G36</f>
        <v>185462</v>
      </c>
      <c r="H45" s="410">
        <f>H42+H36</f>
        <v>149519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668</v>
      </c>
      <c r="B50" s="480">
        <f>pdeReportingDate</f>
        <v>44221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Стефка Левиджова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">
      <c r="A59" s="474"/>
      <c r="B59" s="479"/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f>207718+1055+39-299</f>
        <v>208513</v>
      </c>
      <c r="D11" s="138">
        <v>168798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-132079-18+1000+5301+2108</f>
        <v>-123688</v>
      </c>
      <c r="D12" s="138">
        <v>-97232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11+17-40668-163</f>
        <v>-40803</v>
      </c>
      <c r="D14" s="138">
        <v>-31762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-12064-105-121</f>
        <v>-12290</v>
      </c>
      <c r="D15" s="138">
        <v>-9225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-1972</v>
      </c>
      <c r="D16" s="138">
        <v>-1907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>
        <v>-21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f>19-121</f>
        <v>-102</v>
      </c>
      <c r="D19" s="138">
        <v>-80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11576</v>
      </c>
      <c r="D20" s="138">
        <v>-461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41234</v>
      </c>
      <c r="D21" s="437">
        <f>SUM(D11:D20)</f>
        <v>28110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-2108</v>
      </c>
      <c r="D23" s="138">
        <v>-2993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299</v>
      </c>
      <c r="D24" s="138">
        <v>1774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3926</v>
      </c>
      <c r="D26" s="138">
        <v>2532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293</v>
      </c>
      <c r="D27" s="138">
        <v>456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-7740</v>
      </c>
      <c r="D28" s="138">
        <v>-7297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4920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-410</v>
      </c>
      <c r="D33" s="437">
        <f>SUM(D23:D32)</f>
        <v>-5528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>
        <f>-1874-522</f>
        <v>-2396</v>
      </c>
      <c r="D38" s="138">
        <v>-2965</v>
      </c>
      <c r="E38" s="118"/>
      <c r="F38" s="118"/>
    </row>
    <row r="39" spans="1:6" ht="15">
      <c r="A39" s="217" t="s">
        <v>431</v>
      </c>
      <c r="B39" s="119" t="s">
        <v>432</v>
      </c>
      <c r="C39" s="138">
        <f>-7352-1117-1000-71-5301</f>
        <v>-14841</v>
      </c>
      <c r="D39" s="138">
        <v>-12643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f>-64</f>
        <v>-64</v>
      </c>
      <c r="D40" s="138">
        <v>-107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-10732</v>
      </c>
      <c r="D41" s="138">
        <v>-7529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8">
        <v>-966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-28033</v>
      </c>
      <c r="D43" s="439">
        <f>SUM(D35:D42)</f>
        <v>-24210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12791</v>
      </c>
      <c r="D44" s="247">
        <f>D43+D33+D21</f>
        <v>-1628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5784</v>
      </c>
      <c r="D45" s="249">
        <v>7412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18575</v>
      </c>
      <c r="D46" s="251">
        <f>D45+D44</f>
        <v>5784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4" t="s">
        <v>665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0">
        <f>pdeReportingDate</f>
        <v>44221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Стефка Левиджова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">
      <c r="A63" s="474"/>
      <c r="B63" s="479"/>
      <c r="C63" s="479"/>
      <c r="D63" s="479"/>
      <c r="E63" s="479"/>
      <c r="F63" s="353"/>
      <c r="G63" s="41"/>
      <c r="H63" s="39"/>
    </row>
    <row r="64" spans="1:8" ht="15">
      <c r="A64" s="474"/>
      <c r="B64" s="479"/>
      <c r="C64" s="479"/>
      <c r="D64" s="479"/>
      <c r="E64" s="479"/>
      <c r="F64" s="353"/>
      <c r="G64" s="41"/>
      <c r="H64" s="39"/>
    </row>
    <row r="65" spans="1:8" ht="15">
      <c r="A65" s="474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0" activeCellId="1" sqref="I17 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0.7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0.7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39590</v>
      </c>
      <c r="J13" s="363">
        <f>'1-Баланс'!H30+'1-Баланс'!H33</f>
        <v>0</v>
      </c>
      <c r="K13" s="364"/>
      <c r="L13" s="363">
        <f>SUM(C13:K13)</f>
        <v>65071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1">
        <f>C13+C14</f>
        <v>5378</v>
      </c>
      <c r="D17" s="431">
        <f aca="true" t="shared" si="2" ref="D17:M17">D13+D14</f>
        <v>19565</v>
      </c>
      <c r="E17" s="431">
        <f t="shared" si="2"/>
        <v>0</v>
      </c>
      <c r="F17" s="431">
        <f t="shared" si="2"/>
        <v>538</v>
      </c>
      <c r="G17" s="431">
        <f t="shared" si="2"/>
        <v>0</v>
      </c>
      <c r="H17" s="431">
        <f t="shared" si="2"/>
        <v>0</v>
      </c>
      <c r="I17" s="431">
        <f t="shared" si="2"/>
        <v>39590</v>
      </c>
      <c r="J17" s="431">
        <f t="shared" si="2"/>
        <v>0</v>
      </c>
      <c r="K17" s="431">
        <f t="shared" si="2"/>
        <v>0</v>
      </c>
      <c r="L17" s="363">
        <f t="shared" si="1"/>
        <v>65071</v>
      </c>
      <c r="M17" s="432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25351</v>
      </c>
      <c r="J18" s="363">
        <f>+'1-Баланс'!G33</f>
        <v>0</v>
      </c>
      <c r="K18" s="364"/>
      <c r="L18" s="363">
        <f t="shared" si="1"/>
        <v>25351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-10755</v>
      </c>
      <c r="J19" s="109">
        <f>J20+J21</f>
        <v>0</v>
      </c>
      <c r="K19" s="109">
        <f t="shared" si="3"/>
        <v>0</v>
      </c>
      <c r="L19" s="363">
        <f t="shared" si="1"/>
        <v>-10755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-10755</v>
      </c>
      <c r="J20" s="256"/>
      <c r="K20" s="256"/>
      <c r="L20" s="363">
        <f>SUM(C20:K20)</f>
        <v>-10755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1">
        <f>C19+C22+C23+C26+C30+C29+C17+C18</f>
        <v>5378</v>
      </c>
      <c r="D31" s="431">
        <f aca="true" t="shared" si="6" ref="D31:M31">D19+D22+D23+D26+D30+D29+D17+D18</f>
        <v>19565</v>
      </c>
      <c r="E31" s="431">
        <f t="shared" si="6"/>
        <v>0</v>
      </c>
      <c r="F31" s="431">
        <f t="shared" si="6"/>
        <v>538</v>
      </c>
      <c r="G31" s="431">
        <f t="shared" si="6"/>
        <v>0</v>
      </c>
      <c r="H31" s="431">
        <f t="shared" si="6"/>
        <v>0</v>
      </c>
      <c r="I31" s="431">
        <f t="shared" si="6"/>
        <v>54186</v>
      </c>
      <c r="J31" s="431">
        <f t="shared" si="6"/>
        <v>0</v>
      </c>
      <c r="K31" s="431">
        <f t="shared" si="6"/>
        <v>0</v>
      </c>
      <c r="L31" s="363">
        <f t="shared" si="1"/>
        <v>79667</v>
      </c>
      <c r="M31" s="432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54186</v>
      </c>
      <c r="J34" s="366">
        <f t="shared" si="7"/>
        <v>0</v>
      </c>
      <c r="K34" s="366">
        <f t="shared" si="7"/>
        <v>0</v>
      </c>
      <c r="L34" s="429">
        <f t="shared" si="1"/>
        <v>79667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668</v>
      </c>
      <c r="B38" s="480">
        <f>pdeReportingDate</f>
        <v>44221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Стефка Левиджова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6" sqref="C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 t="s">
        <v>692</v>
      </c>
      <c r="B12" s="458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7" t="s">
        <v>693</v>
      </c>
      <c r="B13" s="458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7" t="s">
        <v>694</v>
      </c>
      <c r="B14" s="458"/>
      <c r="C14" s="79">
        <v>17300</v>
      </c>
      <c r="D14" s="79">
        <v>100</v>
      </c>
      <c r="E14" s="79"/>
      <c r="F14" s="260">
        <f t="shared" si="0"/>
        <v>17300</v>
      </c>
    </row>
    <row r="15" spans="1:6" ht="15">
      <c r="A15" s="457" t="s">
        <v>695</v>
      </c>
      <c r="B15" s="458"/>
      <c r="C15" s="79">
        <v>16456</v>
      </c>
      <c r="D15" s="79">
        <v>100</v>
      </c>
      <c r="E15" s="79"/>
      <c r="F15" s="260">
        <f t="shared" si="0"/>
        <v>16456</v>
      </c>
    </row>
    <row r="16" spans="1:6" ht="15">
      <c r="A16" s="457" t="s">
        <v>696</v>
      </c>
      <c r="B16" s="458"/>
      <c r="C16" s="79">
        <v>3352</v>
      </c>
      <c r="D16" s="79">
        <v>100</v>
      </c>
      <c r="E16" s="79"/>
      <c r="F16" s="260">
        <f t="shared" si="0"/>
        <v>3352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668</v>
      </c>
      <c r="B151" s="480">
        <f>pdeReportingDate</f>
        <v>44221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Стефка Левиджова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">
      <c r="A160" s="474"/>
      <c r="B160" s="479"/>
      <c r="C160" s="479"/>
      <c r="D160" s="479"/>
      <c r="E160" s="479"/>
      <c r="F160" s="353"/>
      <c r="G160" s="41"/>
      <c r="H160" s="39"/>
    </row>
    <row r="161" spans="1:8" ht="15">
      <c r="A161" s="474"/>
      <c r="B161" s="479"/>
      <c r="C161" s="479"/>
      <c r="D161" s="479"/>
      <c r="E161" s="479"/>
      <c r="F161" s="353"/>
      <c r="G161" s="41"/>
      <c r="H161" s="39"/>
    </row>
    <row r="162" spans="1:8" ht="1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"СПИДИ"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01.01.2020 г. до 31.12.2020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160255</v>
      </c>
      <c r="D6" s="453">
        <f aca="true" t="shared" si="0" ref="D6:D15">C6-E6</f>
        <v>0</v>
      </c>
      <c r="E6" s="452">
        <f>'1-Баланс'!G95</f>
        <v>160255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79667</v>
      </c>
      <c r="D7" s="453">
        <f t="shared" si="0"/>
        <v>74289</v>
      </c>
      <c r="E7" s="452">
        <f>'1-Баланс'!G18</f>
        <v>5378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25351</v>
      </c>
      <c r="D8" s="453">
        <f t="shared" si="0"/>
        <v>0</v>
      </c>
      <c r="E8" s="452">
        <f>ABS('2-Отчет за доходите'!C44)-ABS('2-Отчет за доходите'!G44)</f>
        <v>25351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5784</v>
      </c>
      <c r="D9" s="453">
        <f t="shared" si="0"/>
        <v>0</v>
      </c>
      <c r="E9" s="452">
        <f>'3-Отчет за паричния поток'!C45</f>
        <v>5784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18575</v>
      </c>
      <c r="D10" s="453">
        <f t="shared" si="0"/>
        <v>0</v>
      </c>
      <c r="E10" s="452">
        <f>'3-Отчет за паричния поток'!C46</f>
        <v>18575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79667</v>
      </c>
      <c r="D11" s="453">
        <f t="shared" si="0"/>
        <v>0</v>
      </c>
      <c r="E11" s="452">
        <f>'4-Отчет за собствения капитал'!L34</f>
        <v>79667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46255</v>
      </c>
      <c r="D12" s="453">
        <f t="shared" si="0"/>
        <v>0</v>
      </c>
      <c r="E12" s="452">
        <f>'Справка 5'!C27+'Справка 5'!C97</f>
        <v>46255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0.14072318316051247</v>
      </c>
      <c r="E3" s="424"/>
    </row>
    <row r="4" spans="1:4" ht="30.7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0.31821205769013516</v>
      </c>
    </row>
    <row r="5" spans="1:4" ht="30.7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0.3145753710229811</v>
      </c>
    </row>
    <row r="6" spans="1:4" ht="30.7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0.15819163208636236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1.174992555799824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1">
        <v>6</v>
      </c>
      <c r="B10" s="369" t="s">
        <v>590</v>
      </c>
      <c r="C10" s="370" t="s">
        <v>591</v>
      </c>
      <c r="D10" s="419">
        <f>'1-Баланс'!C94/'1-Баланс'!G79</f>
        <v>1.085939320501468</v>
      </c>
    </row>
    <row r="11" spans="1:4" ht="62.25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1.078319429556788</v>
      </c>
    </row>
    <row r="12" spans="1:4" ht="46.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0.4328424290441348</v>
      </c>
    </row>
    <row r="13" spans="1:4" ht="30.75">
      <c r="A13" s="371">
        <v>9</v>
      </c>
      <c r="B13" s="369" t="s">
        <v>594</v>
      </c>
      <c r="C13" s="370" t="s">
        <v>595</v>
      </c>
      <c r="D13" s="419">
        <f>'1-Баланс'!C92/'1-Баланс'!G79</f>
        <v>0.4328424290441348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2.7664854571700603</v>
      </c>
    </row>
    <row r="16" spans="1:4" ht="30.7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1.124133412374029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0.3210642486428444</v>
      </c>
    </row>
    <row r="19" spans="1:4" ht="30.75">
      <c r="A19" s="371">
        <v>13</v>
      </c>
      <c r="B19" s="369" t="s">
        <v>626</v>
      </c>
      <c r="C19" s="370" t="s">
        <v>600</v>
      </c>
      <c r="D19" s="419">
        <f>D4/D5</f>
        <v>1.0115606210852672</v>
      </c>
    </row>
    <row r="20" spans="1:4" ht="30.75">
      <c r="A20" s="371">
        <v>14</v>
      </c>
      <c r="B20" s="369" t="s">
        <v>601</v>
      </c>
      <c r="C20" s="370" t="s">
        <v>602</v>
      </c>
      <c r="D20" s="419">
        <f>D6/D5</f>
        <v>0.5028735452871985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29232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5">
        <f>D21/'1-Баланс'!G37</f>
        <v>0.366927335032071</v>
      </c>
    </row>
    <row r="23" spans="1:4" ht="30.7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0.23630177610507813</v>
      </c>
    </row>
    <row r="24" spans="1:4" ht="30.7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1.8388590986879636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31826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2821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20827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6867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62341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2450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2450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1917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2244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363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113653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327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327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6147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18334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3219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27700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786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17789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18575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46602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160255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28835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28835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25351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54186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79667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35741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1760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37501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173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37674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14093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18790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2694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6938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5031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1364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2763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9997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42880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34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42914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160255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7874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87440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14593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36465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6393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3440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156205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1611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25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1636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157841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27621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157841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27621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2270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2270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25351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25351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185462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174720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5428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180148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95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95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294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4925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5219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185462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185462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185462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208513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-123688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-40803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-12290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-1972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-102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11576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41234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-2108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299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3926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293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-7740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4920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-410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-2396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-14841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-64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-10732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-28033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12791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5784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18575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39590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39590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25351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-10755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-10755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54186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54186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65071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65071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25351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-10755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-10755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79667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79667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2018-10-25T10:39:30Z</cp:lastPrinted>
  <dcterms:created xsi:type="dcterms:W3CDTF">2006-09-16T00:00:00Z</dcterms:created>
  <dcterms:modified xsi:type="dcterms:W3CDTF">2021-01-31T17:20:44Z</dcterms:modified>
  <cp:category/>
  <cp:version/>
  <cp:contentType/>
  <cp:contentStatus/>
</cp:coreProperties>
</file>