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340" tabRatio="772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<sst xmlns="http://schemas.openxmlformats.org/spreadsheetml/2006/main" count="1999" uniqueCount="697">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</sst>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656</v>
      </c>
      <c r="B1" s="2"/>
      <c r="Z1" s="477">
        <v>1</v>
      </c>
      <c r="AA1" s="478">
        <f>IF(ISBLANK(_endDate),"",_endDate)</f>
        <v>44104</v>
      </c>
    </row>
    <row r="2" spans="1:27" ht="15">
      <c r="A2" s="465" t="s">
        <v>680</v>
      </c>
      <c r="B2" s="460"/>
      <c r="Z2" s="477">
        <v>2</v>
      </c>
      <c r="AA2" s="478">
        <f>IF(ISBLANK(_pdeReportingDate),"",_pdeReportingDate)</f>
        <v>44130</v>
      </c>
    </row>
    <row r="3" spans="1:27" ht="15">
      <c r="A3" s="461" t="s">
        <v>655</v>
      </c>
      <c r="B3" s="462"/>
      <c r="Z3" s="477">
        <v>3</v>
      </c>
      <c r="AA3" s="478" t="str">
        <f>IF(ISBLANK(_authorName),"",_authorName)</f>
        <v>Стефка Левиджова</v>
      </c>
    </row>
    <row r="4" spans="1:2" ht="15">
      <c r="A4" s="459" t="s">
        <v>681</v>
      </c>
      <c r="B4" s="460"/>
    </row>
    <row r="5" spans="1:2" ht="46.5">
      <c r="A5" s="463" t="s">
        <v>622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43831</v>
      </c>
    </row>
    <row r="10" spans="1:2" ht="15">
      <c r="A10" s="7" t="s">
        <v>2</v>
      </c>
      <c r="B10" s="357">
        <v>44104</v>
      </c>
    </row>
    <row r="11" spans="1:2" ht="15">
      <c r="A11" s="7" t="s">
        <v>668</v>
      </c>
      <c r="B11" s="357">
        <v>44130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7" t="s">
        <v>687</v>
      </c>
    </row>
    <row r="24" spans="1:2" ht="15">
      <c r="A24" s="10" t="s">
        <v>612</v>
      </c>
      <c r="B24" s="468" t="s">
        <v>688</v>
      </c>
    </row>
    <row r="25" spans="1:2" ht="15">
      <c r="A25" s="7" t="s">
        <v>615</v>
      </c>
      <c r="B25" s="469" t="s">
        <v>689</v>
      </c>
    </row>
    <row r="26" spans="1:2" ht="15">
      <c r="A26" s="10" t="s">
        <v>661</v>
      </c>
      <c r="B26" s="358" t="s">
        <v>690</v>
      </c>
    </row>
    <row r="27" spans="1:2" ht="15">
      <c r="A27" s="10" t="s">
        <v>662</v>
      </c>
      <c r="B27" s="358" t="s">
        <v>691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85">
      <selection activeCell="G50" sqref="G5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">
      <c r="A13" s="76" t="s">
        <v>27</v>
      </c>
      <c r="B13" s="78" t="s">
        <v>28</v>
      </c>
      <c r="C13" s="138">
        <v>32059</v>
      </c>
      <c r="D13" s="138">
        <v>34687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">
      <c r="A14" s="76" t="s">
        <v>30</v>
      </c>
      <c r="B14" s="78" t="s">
        <v>31</v>
      </c>
      <c r="C14" s="138">
        <v>2481</v>
      </c>
      <c r="D14" s="138">
        <v>2833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21382</v>
      </c>
      <c r="D16" s="138">
        <v>18494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6775</v>
      </c>
      <c r="D19" s="138">
        <v>6051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62697</v>
      </c>
      <c r="D20" s="377">
        <f>SUM(D12:D19)</f>
        <v>62065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2306</v>
      </c>
      <c r="D25" s="137">
        <v>2077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2306</v>
      </c>
      <c r="D28" s="377">
        <f>SUM(D24:D27)</f>
        <v>2077</v>
      </c>
      <c r="E28" s="143" t="s">
        <v>84</v>
      </c>
      <c r="F28" s="80" t="s">
        <v>85</v>
      </c>
      <c r="G28" s="374">
        <f>SUM(G29:G31)</f>
        <v>28835</v>
      </c>
      <c r="H28" s="375">
        <f>SUM(H29:H31)</f>
        <v>21858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28835</v>
      </c>
      <c r="H29" s="138">
        <v>21858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18078</v>
      </c>
      <c r="H32" s="138">
        <v>17732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46913</v>
      </c>
      <c r="H34" s="377">
        <f>H28+H32+H33</f>
        <v>39590</v>
      </c>
    </row>
    <row r="35" spans="1:8" ht="1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72394</v>
      </c>
      <c r="H37" s="379">
        <f>H26+H18+H34</f>
        <v>65071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37791-797</f>
        <v>36994</v>
      </c>
      <c r="H45" s="138">
        <v>39789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8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">
      <c r="A48" s="76" t="s">
        <v>144</v>
      </c>
      <c r="B48" s="78" t="s">
        <v>145</v>
      </c>
      <c r="C48" s="138">
        <f>4914-1995</f>
        <v>2919</v>
      </c>
      <c r="D48" s="138">
        <v>6148</v>
      </c>
      <c r="E48" s="142" t="s">
        <v>146</v>
      </c>
      <c r="F48" s="80" t="s">
        <v>147</v>
      </c>
      <c r="G48" s="138"/>
      <c r="H48" s="138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1760</v>
      </c>
      <c r="H49" s="138">
        <v>4691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38754</v>
      </c>
      <c r="H50" s="375">
        <f>SUM(H44:H49)</f>
        <v>44480</v>
      </c>
    </row>
    <row r="51" spans="1:8" ht="15">
      <c r="A51" s="76" t="s">
        <v>79</v>
      </c>
      <c r="B51" s="78" t="s">
        <v>155</v>
      </c>
      <c r="C51" s="138">
        <v>327</v>
      </c>
      <c r="D51" s="138">
        <v>380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3246</v>
      </c>
      <c r="D52" s="377">
        <f>SUM(D48:D51)</f>
        <v>6528</v>
      </c>
      <c r="E52" s="142" t="s">
        <v>158</v>
      </c>
      <c r="F52" s="82" t="s">
        <v>159</v>
      </c>
      <c r="G52" s="138">
        <v>173</v>
      </c>
      <c r="H52" s="137">
        <v>258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363</v>
      </c>
      <c r="D55" s="270">
        <v>362</v>
      </c>
      <c r="E55" s="76" t="s">
        <v>168</v>
      </c>
      <c r="F55" s="82" t="s">
        <v>169</v>
      </c>
      <c r="G55" s="138"/>
      <c r="H55" s="137">
        <v>34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114867</v>
      </c>
      <c r="D56" s="381">
        <f>D20+D21+D22+D28+D33+D46+D52+D54+D55</f>
        <v>117287</v>
      </c>
      <c r="E56" s="87" t="s">
        <v>557</v>
      </c>
      <c r="F56" s="86" t="s">
        <v>172</v>
      </c>
      <c r="G56" s="378">
        <f>G50+G52+G53+G54+G55</f>
        <v>38927</v>
      </c>
      <c r="H56" s="379">
        <f>H50+H52+H53+H54+H55</f>
        <v>44772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342</v>
      </c>
      <c r="D59" s="137">
        <v>368</v>
      </c>
      <c r="E59" s="142" t="s">
        <v>180</v>
      </c>
      <c r="F59" s="277" t="s">
        <v>181</v>
      </c>
      <c r="G59" s="138">
        <f>12682+5026</f>
        <v>17708</v>
      </c>
      <c r="H59" s="137">
        <v>12334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16103</v>
      </c>
      <c r="H61" s="375">
        <f>SUM(H62:H68)</f>
        <v>15213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2534+110</f>
        <v>2644</v>
      </c>
      <c r="H62" s="138">
        <v>3330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2354+3879+46</f>
        <v>6279</v>
      </c>
      <c r="H64" s="138">
        <v>4801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342</v>
      </c>
      <c r="D65" s="377">
        <f>SUM(D59:D64)</f>
        <v>368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4176-173+18</f>
        <v>4021</v>
      </c>
      <c r="H66" s="138">
        <v>3611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1185</v>
      </c>
      <c r="H67" s="138">
        <v>1061</v>
      </c>
    </row>
    <row r="68" spans="1:8" ht="15">
      <c r="A68" s="76" t="s">
        <v>206</v>
      </c>
      <c r="B68" s="78" t="s">
        <v>207</v>
      </c>
      <c r="C68" s="138">
        <f>4609+1995</f>
        <v>6604</v>
      </c>
      <c r="D68" s="138">
        <v>9196</v>
      </c>
      <c r="E68" s="76" t="s">
        <v>212</v>
      </c>
      <c r="F68" s="80" t="s">
        <v>213</v>
      </c>
      <c r="G68" s="138">
        <f>1412+562</f>
        <v>1974</v>
      </c>
      <c r="H68" s="138">
        <v>2410</v>
      </c>
    </row>
    <row r="69" spans="1:8" ht="15">
      <c r="A69" s="76" t="s">
        <v>210</v>
      </c>
      <c r="B69" s="78" t="s">
        <v>211</v>
      </c>
      <c r="C69" s="138">
        <f>14826-327+8</f>
        <v>14507</v>
      </c>
      <c r="D69" s="138">
        <v>12446</v>
      </c>
      <c r="E69" s="142" t="s">
        <v>79</v>
      </c>
      <c r="F69" s="80" t="s">
        <v>216</v>
      </c>
      <c r="G69" s="138">
        <f>3581+1404</f>
        <v>4985</v>
      </c>
      <c r="H69" s="138">
        <v>9563</v>
      </c>
    </row>
    <row r="70" spans="1:8" ht="1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38796</v>
      </c>
      <c r="H71" s="377">
        <f>H59+H60+H61+H69+H70</f>
        <v>37110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1247+165+1404</f>
        <v>2816</v>
      </c>
      <c r="D75" s="138">
        <v>1967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23927</v>
      </c>
      <c r="D76" s="377">
        <f>SUM(D68:D75)</f>
        <v>23609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38</v>
      </c>
      <c r="H77" s="270">
        <v>95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38834</v>
      </c>
      <c r="H79" s="379">
        <f>H71+H73+H75+H77</f>
        <v>37205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307</v>
      </c>
      <c r="D88" s="138">
        <v>552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f>7712+3000</f>
        <v>10712</v>
      </c>
      <c r="D89" s="138">
        <v>5120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8">
        <v>112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11019</v>
      </c>
      <c r="D92" s="377">
        <f>SUM(D88:D91)</f>
        <v>5784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35288</v>
      </c>
      <c r="D94" s="381">
        <f>D65+D76+D85+D92+D93</f>
        <v>29761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150155</v>
      </c>
      <c r="D95" s="383">
        <f>D94+D56</f>
        <v>147048</v>
      </c>
      <c r="E95" s="169" t="s">
        <v>635</v>
      </c>
      <c r="F95" s="280" t="s">
        <v>268</v>
      </c>
      <c r="G95" s="382">
        <f>G37+G40+G56+G79</f>
        <v>150155</v>
      </c>
      <c r="H95" s="383">
        <f>H37+H40+H56+H79</f>
        <v>147048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2" t="s">
        <v>668</v>
      </c>
      <c r="B98" s="480">
        <f>pdeReportingDate</f>
        <v>44130</v>
      </c>
      <c r="C98" s="480"/>
      <c r="D98" s="480"/>
      <c r="E98" s="480"/>
      <c r="F98" s="480"/>
      <c r="G98" s="480"/>
      <c r="H98" s="480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1" t="str">
        <f>authorName</f>
        <v>Стефка Левиджова</v>
      </c>
      <c r="C100" s="481"/>
      <c r="D100" s="481"/>
      <c r="E100" s="481"/>
      <c r="F100" s="481"/>
      <c r="G100" s="481"/>
      <c r="H100" s="481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16" activeCellId="1" sqref="D15 D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5667</v>
      </c>
      <c r="D12" s="256">
        <v>5225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61769</v>
      </c>
      <c r="D13" s="256">
        <v>52380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10856</v>
      </c>
      <c r="D14" s="256">
        <v>9965</v>
      </c>
      <c r="E14" s="185" t="s">
        <v>285</v>
      </c>
      <c r="F14" s="180" t="s">
        <v>286</v>
      </c>
      <c r="G14" s="256">
        <v>122600</v>
      </c>
      <c r="H14" s="256">
        <v>101541</v>
      </c>
    </row>
    <row r="15" spans="1:8" ht="15">
      <c r="A15" s="135" t="s">
        <v>287</v>
      </c>
      <c r="B15" s="131" t="s">
        <v>288</v>
      </c>
      <c r="C15" s="256">
        <v>26089</v>
      </c>
      <c r="D15" s="256">
        <v>20442</v>
      </c>
      <c r="E15" s="185" t="s">
        <v>79</v>
      </c>
      <c r="F15" s="180" t="s">
        <v>289</v>
      </c>
      <c r="G15" s="256">
        <v>3601</v>
      </c>
      <c r="H15" s="256">
        <v>4084</v>
      </c>
    </row>
    <row r="16" spans="1:8" ht="15.75">
      <c r="A16" s="135" t="s">
        <v>290</v>
      </c>
      <c r="B16" s="131" t="s">
        <v>291</v>
      </c>
      <c r="C16" s="256">
        <v>4621</v>
      </c>
      <c r="D16" s="256">
        <v>3533</v>
      </c>
      <c r="E16" s="176" t="s">
        <v>52</v>
      </c>
      <c r="F16" s="204" t="s">
        <v>292</v>
      </c>
      <c r="G16" s="407">
        <f>SUM(G12:G15)</f>
        <v>126201</v>
      </c>
      <c r="H16" s="408">
        <f>SUM(H12:H15)</f>
        <v>105625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91</v>
      </c>
      <c r="H18" s="418">
        <v>240</v>
      </c>
    </row>
    <row r="19" spans="1:8" ht="15">
      <c r="A19" s="135" t="s">
        <v>299</v>
      </c>
      <c r="B19" s="131" t="s">
        <v>300</v>
      </c>
      <c r="C19" s="256">
        <v>1655</v>
      </c>
      <c r="D19" s="256">
        <v>1054</v>
      </c>
      <c r="E19" s="135" t="s">
        <v>301</v>
      </c>
      <c r="F19" s="177" t="s">
        <v>302</v>
      </c>
      <c r="G19" s="256">
        <v>91</v>
      </c>
      <c r="H19" s="256">
        <v>240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110657</v>
      </c>
      <c r="D22" s="408">
        <f>SUM(D12:D18)+D19</f>
        <v>92599</v>
      </c>
      <c r="E22" s="135" t="s">
        <v>309</v>
      </c>
      <c r="F22" s="177" t="s">
        <v>310</v>
      </c>
      <c r="G22" s="256">
        <v>240</v>
      </c>
      <c r="H22" s="256">
        <v>511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4925</v>
      </c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0.75">
      <c r="A25" s="135" t="s">
        <v>316</v>
      </c>
      <c r="B25" s="177" t="s">
        <v>317</v>
      </c>
      <c r="C25" s="256">
        <v>1241</v>
      </c>
      <c r="D25" s="256">
        <v>1300</v>
      </c>
      <c r="E25" s="135" t="s">
        <v>318</v>
      </c>
      <c r="F25" s="177" t="s">
        <v>319</v>
      </c>
      <c r="G25" s="256"/>
      <c r="H25" s="256">
        <v>22</v>
      </c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0.75">
      <c r="A27" s="135" t="s">
        <v>324</v>
      </c>
      <c r="B27" s="177" t="s">
        <v>325</v>
      </c>
      <c r="C27" s="256"/>
      <c r="D27" s="256">
        <v>80</v>
      </c>
      <c r="E27" s="176" t="s">
        <v>104</v>
      </c>
      <c r="F27" s="178" t="s">
        <v>326</v>
      </c>
      <c r="G27" s="407">
        <f>SUM(G22:G26)</f>
        <v>5165</v>
      </c>
      <c r="H27" s="408">
        <f>SUM(H22:H26)</f>
        <v>533</v>
      </c>
    </row>
    <row r="28" spans="1:8" ht="15">
      <c r="A28" s="135" t="s">
        <v>79</v>
      </c>
      <c r="B28" s="177" t="s">
        <v>327</v>
      </c>
      <c r="C28" s="256">
        <v>19</v>
      </c>
      <c r="D28" s="256">
        <v>12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1260</v>
      </c>
      <c r="D29" s="408">
        <f>SUM(D25:D28)</f>
        <v>1392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111917</v>
      </c>
      <c r="D31" s="414">
        <f>D29+D22</f>
        <v>93991</v>
      </c>
      <c r="E31" s="191" t="s">
        <v>548</v>
      </c>
      <c r="F31" s="206" t="s">
        <v>331</v>
      </c>
      <c r="G31" s="193">
        <f>G16+G18+G27</f>
        <v>131457</v>
      </c>
      <c r="H31" s="194">
        <f>H16+H18+H27</f>
        <v>106398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19540</v>
      </c>
      <c r="D33" s="184">
        <f>IF((H31-D31)&gt;0,H31-D31,0)</f>
        <v>12407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111917</v>
      </c>
      <c r="D36" s="416">
        <f>D31-D34+D35</f>
        <v>93991</v>
      </c>
      <c r="E36" s="202" t="s">
        <v>346</v>
      </c>
      <c r="F36" s="196" t="s">
        <v>347</v>
      </c>
      <c r="G36" s="207">
        <f>G35-G34+G31</f>
        <v>131457</v>
      </c>
      <c r="H36" s="208">
        <f>H35-H34+H31</f>
        <v>106398</v>
      </c>
    </row>
    <row r="37" spans="1:8" ht="15.75">
      <c r="A37" s="201" t="s">
        <v>348</v>
      </c>
      <c r="B37" s="171" t="s">
        <v>349</v>
      </c>
      <c r="C37" s="413">
        <f>IF((G36-C36)&gt;0,G36-C36,0)</f>
        <v>19540</v>
      </c>
      <c r="D37" s="414">
        <f>IF((H36-D36)&gt;0,H36-D36,0)</f>
        <v>12407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1462</v>
      </c>
      <c r="D38" s="408">
        <f>D39+D40+D41</f>
        <v>1241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1462</v>
      </c>
      <c r="D39" s="256">
        <v>1241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18078</v>
      </c>
      <c r="D42" s="184">
        <f>+IF((H36-D36-D38)&gt;0,H36-D36-D38,0)</f>
        <v>11166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18078</v>
      </c>
      <c r="D44" s="208">
        <f>IF(H42=0,IF(D42-D43&gt;0,D42-D43+H43,0),IF(H42-H43&lt;0,H43-H42+D42,0))</f>
        <v>11166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131457</v>
      </c>
      <c r="D45" s="410">
        <f>D36+D38+D42</f>
        <v>106398</v>
      </c>
      <c r="E45" s="210" t="s">
        <v>373</v>
      </c>
      <c r="F45" s="212" t="s">
        <v>374</v>
      </c>
      <c r="G45" s="409">
        <f>G42+G36</f>
        <v>131457</v>
      </c>
      <c r="H45" s="410">
        <f>H42+H36</f>
        <v>106398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2" t="s">
        <v>668</v>
      </c>
      <c r="B50" s="480">
        <f>pdeReportingDate</f>
        <v>44130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1" t="str">
        <f>authorName</f>
        <v>Стефка Левиджова</v>
      </c>
      <c r="C52" s="481"/>
      <c r="D52" s="481"/>
      <c r="E52" s="481"/>
      <c r="F52" s="481"/>
      <c r="G52" s="481"/>
      <c r="H52" s="481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">
      <c r="A59" s="474"/>
      <c r="B59" s="479"/>
      <c r="C59" s="479"/>
      <c r="D59" s="479"/>
      <c r="E59" s="479"/>
      <c r="F59" s="353"/>
      <c r="G59" s="41"/>
      <c r="H59" s="39"/>
    </row>
    <row r="60" spans="1:8" ht="15">
      <c r="A60" s="474"/>
      <c r="B60" s="479"/>
      <c r="C60" s="479"/>
      <c r="D60" s="479"/>
      <c r="E60" s="479"/>
      <c r="F60" s="353"/>
      <c r="G60" s="41"/>
      <c r="H60" s="39"/>
    </row>
    <row r="61" spans="1:8" ht="15">
      <c r="A61" s="474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f>150025-228</f>
        <v>149797</v>
      </c>
      <c r="D11" s="138">
        <v>123429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-92049-555-82-287+2030</f>
        <v>-90943</v>
      </c>
      <c r="D12" s="138">
        <v>-76710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f>-29885-106</f>
        <v>-29991</v>
      </c>
      <c r="D14" s="138">
        <f>1-22356</f>
        <v>-22355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-8995-68</f>
        <v>-9063</v>
      </c>
      <c r="D15" s="138">
        <f>-7318+17-113</f>
        <v>-7414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-1272</v>
      </c>
      <c r="D16" s="138">
        <v>-1517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f>19-94</f>
        <v>-75</v>
      </c>
      <c r="D19" s="138">
        <f>22-62</f>
        <v>-40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878283-873099-153-176</f>
        <v>4855</v>
      </c>
      <c r="D20" s="138">
        <v>-1204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6">
        <f>SUM(C11:C20)</f>
        <v>23308</v>
      </c>
      <c r="D21" s="437">
        <f>SUM(D11:D20)</f>
        <v>14189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-2030</v>
      </c>
      <c r="D23" s="138">
        <v>-2307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f>106+40+82</f>
        <v>228</v>
      </c>
      <c r="D24" s="138">
        <v>1090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2924</v>
      </c>
      <c r="D26" s="138">
        <v>2033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240</v>
      </c>
      <c r="D27" s="138">
        <v>363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-4133</v>
      </c>
      <c r="D28" s="138">
        <v>-5558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4755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6">
        <f>SUM(C23:C32)</f>
        <v>1984</v>
      </c>
      <c r="D33" s="437">
        <f>SUM(D23:D32)</f>
        <v>-4379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>
        <v>2474</v>
      </c>
      <c r="E37" s="118"/>
      <c r="F37" s="118"/>
    </row>
    <row r="38" spans="1:6" ht="15">
      <c r="A38" s="217" t="s">
        <v>429</v>
      </c>
      <c r="B38" s="119" t="s">
        <v>430</v>
      </c>
      <c r="C38" s="138">
        <f>-1474-522</f>
        <v>-1996</v>
      </c>
      <c r="D38" s="138">
        <v>-2224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-6574</v>
      </c>
      <c r="D39" s="138">
        <v>-5824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f>-702-53</f>
        <v>-755</v>
      </c>
      <c r="D40" s="138">
        <v>-90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-10732</v>
      </c>
      <c r="D41" s="138">
        <v>-7529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8">
        <f>SUM(C35:C42)</f>
        <v>-20057</v>
      </c>
      <c r="D43" s="439">
        <f>SUM(D35:D42)</f>
        <v>-13193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5235</v>
      </c>
      <c r="D44" s="247">
        <f>D43+D33+D21</f>
        <v>-3383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5784</v>
      </c>
      <c r="D45" s="249">
        <v>7412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11019</v>
      </c>
      <c r="D46" s="251">
        <f>D45+D44</f>
        <v>4029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659</v>
      </c>
      <c r="G50" s="121"/>
      <c r="H50" s="121"/>
    </row>
    <row r="51" spans="1:8" ht="15">
      <c r="A51" s="484" t="s">
        <v>665</v>
      </c>
      <c r="B51" s="484"/>
      <c r="C51" s="484"/>
      <c r="D51" s="484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668</v>
      </c>
      <c r="B54" s="480">
        <f>pdeReportingDate</f>
        <v>44130</v>
      </c>
      <c r="C54" s="480"/>
      <c r="D54" s="480"/>
      <c r="E54" s="480"/>
      <c r="F54" s="475"/>
      <c r="G54" s="475"/>
      <c r="H54" s="475"/>
      <c r="M54" s="85"/>
    </row>
    <row r="55" spans="1:13" s="39" customFormat="1" ht="1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3" t="s">
        <v>8</v>
      </c>
      <c r="B56" s="481" t="str">
        <f>authorName</f>
        <v>Стефка Левиджова</v>
      </c>
      <c r="C56" s="481"/>
      <c r="D56" s="481"/>
      <c r="E56" s="481"/>
      <c r="F56" s="67"/>
      <c r="G56" s="67"/>
      <c r="H56" s="67"/>
    </row>
    <row r="57" spans="1:8" s="39" customFormat="1" ht="1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">
      <c r="A63" s="474"/>
      <c r="B63" s="479"/>
      <c r="C63" s="479"/>
      <c r="D63" s="479"/>
      <c r="E63" s="479"/>
      <c r="F63" s="353"/>
      <c r="G63" s="41"/>
      <c r="H63" s="39"/>
    </row>
    <row r="64" spans="1:8" ht="15">
      <c r="A64" s="474"/>
      <c r="B64" s="479"/>
      <c r="C64" s="479"/>
      <c r="D64" s="479"/>
      <c r="E64" s="479"/>
      <c r="F64" s="353"/>
      <c r="G64" s="41"/>
      <c r="H64" s="39"/>
    </row>
    <row r="65" spans="1:8" ht="15">
      <c r="A65" s="474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0" activeCellId="1" sqref="I17 I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0.7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0.7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39590</v>
      </c>
      <c r="J13" s="363">
        <f>'1-Баланс'!H30+'1-Баланс'!H33</f>
        <v>0</v>
      </c>
      <c r="K13" s="364"/>
      <c r="L13" s="363">
        <f>SUM(C13:K13)</f>
        <v>65071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1">
        <f>C13+C14</f>
        <v>5378</v>
      </c>
      <c r="D17" s="431">
        <f aca="true" t="shared" si="2" ref="D17:M17">D13+D14</f>
        <v>19565</v>
      </c>
      <c r="E17" s="431">
        <f t="shared" si="2"/>
        <v>0</v>
      </c>
      <c r="F17" s="431">
        <f t="shared" si="2"/>
        <v>538</v>
      </c>
      <c r="G17" s="431">
        <f t="shared" si="2"/>
        <v>0</v>
      </c>
      <c r="H17" s="431">
        <f t="shared" si="2"/>
        <v>0</v>
      </c>
      <c r="I17" s="431">
        <f t="shared" si="2"/>
        <v>39590</v>
      </c>
      <c r="J17" s="431">
        <f t="shared" si="2"/>
        <v>0</v>
      </c>
      <c r="K17" s="431">
        <f t="shared" si="2"/>
        <v>0</v>
      </c>
      <c r="L17" s="363">
        <f t="shared" si="1"/>
        <v>65071</v>
      </c>
      <c r="M17" s="432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18078</v>
      </c>
      <c r="J18" s="363">
        <f>+'1-Баланс'!G33</f>
        <v>0</v>
      </c>
      <c r="K18" s="364"/>
      <c r="L18" s="363">
        <f t="shared" si="1"/>
        <v>18078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-10755</v>
      </c>
      <c r="J19" s="109">
        <f>J20+J21</f>
        <v>0</v>
      </c>
      <c r="K19" s="109">
        <f t="shared" si="3"/>
        <v>0</v>
      </c>
      <c r="L19" s="363">
        <f t="shared" si="1"/>
        <v>-10755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-10755</v>
      </c>
      <c r="J20" s="256"/>
      <c r="K20" s="256"/>
      <c r="L20" s="363">
        <f>SUM(C20:K20)</f>
        <v>-10755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1">
        <f>C19+C22+C23+C26+C30+C29+C17+C18</f>
        <v>5378</v>
      </c>
      <c r="D31" s="431">
        <f aca="true" t="shared" si="6" ref="D31:M31">D19+D22+D23+D26+D30+D29+D17+D18</f>
        <v>19565</v>
      </c>
      <c r="E31" s="431">
        <f t="shared" si="6"/>
        <v>0</v>
      </c>
      <c r="F31" s="431">
        <f t="shared" si="6"/>
        <v>538</v>
      </c>
      <c r="G31" s="431">
        <f t="shared" si="6"/>
        <v>0</v>
      </c>
      <c r="H31" s="431">
        <f t="shared" si="6"/>
        <v>0</v>
      </c>
      <c r="I31" s="431">
        <f t="shared" si="6"/>
        <v>46913</v>
      </c>
      <c r="J31" s="431">
        <f t="shared" si="6"/>
        <v>0</v>
      </c>
      <c r="K31" s="431">
        <f t="shared" si="6"/>
        <v>0</v>
      </c>
      <c r="L31" s="363">
        <f t="shared" si="1"/>
        <v>72394</v>
      </c>
      <c r="M31" s="432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46913</v>
      </c>
      <c r="J34" s="366">
        <f t="shared" si="7"/>
        <v>0</v>
      </c>
      <c r="K34" s="366">
        <f t="shared" si="7"/>
        <v>0</v>
      </c>
      <c r="L34" s="429">
        <f t="shared" si="1"/>
        <v>72394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2" t="s">
        <v>668</v>
      </c>
      <c r="B38" s="480">
        <f>pdeReportingDate</f>
        <v>44130</v>
      </c>
      <c r="C38" s="480"/>
      <c r="D38" s="480"/>
      <c r="E38" s="480"/>
      <c r="F38" s="480"/>
      <c r="G38" s="480"/>
      <c r="H38" s="480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1" t="str">
        <f>authorName</f>
        <v>Стефка Левиджова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4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 t="s">
        <v>692</v>
      </c>
      <c r="B12" s="458"/>
      <c r="C12" s="79">
        <v>982</v>
      </c>
      <c r="D12" s="79">
        <v>100</v>
      </c>
      <c r="E12" s="79"/>
      <c r="F12" s="260">
        <f>C12-E12</f>
        <v>982</v>
      </c>
    </row>
    <row r="13" spans="1:6" ht="15">
      <c r="A13" s="457" t="s">
        <v>693</v>
      </c>
      <c r="B13" s="458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">
      <c r="A14" s="457" t="s">
        <v>694</v>
      </c>
      <c r="B14" s="458"/>
      <c r="C14" s="79">
        <v>17300</v>
      </c>
      <c r="D14" s="79">
        <v>100</v>
      </c>
      <c r="E14" s="79"/>
      <c r="F14" s="260">
        <f t="shared" si="0"/>
        <v>17300</v>
      </c>
    </row>
    <row r="15" spans="1:6" ht="15">
      <c r="A15" s="457" t="s">
        <v>695</v>
      </c>
      <c r="B15" s="458"/>
      <c r="C15" s="79">
        <v>16456</v>
      </c>
      <c r="D15" s="79">
        <v>100</v>
      </c>
      <c r="E15" s="79"/>
      <c r="F15" s="260">
        <f t="shared" si="0"/>
        <v>16456</v>
      </c>
    </row>
    <row r="16" spans="1:6" ht="15">
      <c r="A16" s="457" t="s">
        <v>696</v>
      </c>
      <c r="B16" s="458"/>
      <c r="C16" s="79">
        <v>3352</v>
      </c>
      <c r="D16" s="79">
        <v>100</v>
      </c>
      <c r="E16" s="79"/>
      <c r="F16" s="260">
        <f t="shared" si="0"/>
        <v>3352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2" t="s">
        <v>668</v>
      </c>
      <c r="B151" s="480">
        <f>pdeReportingDate</f>
        <v>44130</v>
      </c>
      <c r="C151" s="480"/>
      <c r="D151" s="480"/>
      <c r="E151" s="480"/>
      <c r="F151" s="480"/>
      <c r="G151" s="480"/>
      <c r="H151" s="480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1" t="str">
        <f>authorName</f>
        <v>Стефка Левиджова</v>
      </c>
      <c r="C153" s="481"/>
      <c r="D153" s="481"/>
      <c r="E153" s="481"/>
      <c r="F153" s="481"/>
      <c r="G153" s="481"/>
      <c r="H153" s="481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">
      <c r="A160" s="474"/>
      <c r="B160" s="479"/>
      <c r="C160" s="479"/>
      <c r="D160" s="479"/>
      <c r="E160" s="479"/>
      <c r="F160" s="353"/>
      <c r="G160" s="41"/>
      <c r="H160" s="39"/>
    </row>
    <row r="161" spans="1:8" ht="15">
      <c r="A161" s="474"/>
      <c r="B161" s="479"/>
      <c r="C161" s="479"/>
      <c r="D161" s="479"/>
      <c r="E161" s="479"/>
      <c r="F161" s="353"/>
      <c r="G161" s="41"/>
      <c r="H161" s="39"/>
    </row>
    <row r="162" spans="1:8" ht="1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">
      <c r="A2" s="441" t="str">
        <f>CONCATENATE("на информацията, въведена в справките на ",UPPER(pdeName))</f>
        <v>на информацията, въведена в справките на "СПИДИ"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">
      <c r="A3" s="441" t="str">
        <f>CONCATENATE("за периода от ",TEXT(startDate,"dd.mm.yyyy г.")," до ",TEXT(endDate,"dd.mm.yyyy г."))</f>
        <v>за периода от 01.01.2020 г. до 30.09.2020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150155</v>
      </c>
      <c r="D6" s="453">
        <f aca="true" t="shared" si="0" ref="D6:D15">C6-E6</f>
        <v>0</v>
      </c>
      <c r="E6" s="452">
        <f>'1-Баланс'!G95</f>
        <v>150155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72394</v>
      </c>
      <c r="D7" s="453">
        <f t="shared" si="0"/>
        <v>67016</v>
      </c>
      <c r="E7" s="452">
        <f>'1-Баланс'!G18</f>
        <v>5378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18078</v>
      </c>
      <c r="D8" s="453">
        <f t="shared" si="0"/>
        <v>0</v>
      </c>
      <c r="E8" s="452">
        <f>ABS('2-Отчет за доходите'!C44)-ABS('2-Отчет за доходите'!G44)</f>
        <v>18078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5784</v>
      </c>
      <c r="D9" s="453">
        <f t="shared" si="0"/>
        <v>0</v>
      </c>
      <c r="E9" s="452">
        <f>'3-Отчет за паричния поток'!C45</f>
        <v>5784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11019</v>
      </c>
      <c r="D10" s="453">
        <f t="shared" si="0"/>
        <v>0</v>
      </c>
      <c r="E10" s="452">
        <f>'3-Отчет за паричния поток'!C46</f>
        <v>11019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72394</v>
      </c>
      <c r="D11" s="453">
        <f t="shared" si="0"/>
        <v>0</v>
      </c>
      <c r="E11" s="452">
        <f>'4-Отчет за собствения капитал'!L34</f>
        <v>72394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46255</v>
      </c>
      <c r="D12" s="453">
        <f t="shared" si="0"/>
        <v>0</v>
      </c>
      <c r="E12" s="452">
        <f>'Справка 5'!C27+'Справка 5'!C97</f>
        <v>46255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0.7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0.14324767632586113</v>
      </c>
      <c r="E3" s="424"/>
    </row>
    <row r="4" spans="1:4" ht="30.7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0.24971682736138354</v>
      </c>
    </row>
    <row r="5" spans="1:4" ht="30.7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0.23248157816900503</v>
      </c>
    </row>
    <row r="6" spans="1:4" ht="30.7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0.12039559122240352</v>
      </c>
    </row>
    <row r="7" spans="1:4" ht="24" customHeight="1">
      <c r="A7" s="423" t="s">
        <v>586</v>
      </c>
      <c r="B7" s="421"/>
      <c r="C7" s="421"/>
      <c r="D7" s="422"/>
    </row>
    <row r="8" spans="1:4" ht="30.7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1.1745936720962857</v>
      </c>
    </row>
    <row r="9" spans="1:4" ht="24" customHeight="1">
      <c r="A9" s="423" t="s">
        <v>589</v>
      </c>
      <c r="B9" s="421"/>
      <c r="C9" s="421"/>
      <c r="D9" s="422"/>
    </row>
    <row r="10" spans="1:4" ht="30.75">
      <c r="A10" s="371">
        <v>6</v>
      </c>
      <c r="B10" s="369" t="s">
        <v>590</v>
      </c>
      <c r="C10" s="370" t="s">
        <v>591</v>
      </c>
      <c r="D10" s="419">
        <f>'1-Баланс'!C94/'1-Баланс'!G79</f>
        <v>0.9086882628624401</v>
      </c>
    </row>
    <row r="11" spans="1:4" ht="62.25">
      <c r="A11" s="371">
        <v>7</v>
      </c>
      <c r="B11" s="369" t="s">
        <v>592</v>
      </c>
      <c r="C11" s="370" t="s">
        <v>657</v>
      </c>
      <c r="D11" s="419">
        <f>('1-Баланс'!C76+'1-Баланс'!C85+'1-Баланс'!C92)/'1-Баланс'!G79</f>
        <v>0.8998815470979039</v>
      </c>
    </row>
    <row r="12" spans="1:4" ht="46.5">
      <c r="A12" s="371">
        <v>8</v>
      </c>
      <c r="B12" s="369" t="s">
        <v>593</v>
      </c>
      <c r="C12" s="370" t="s">
        <v>658</v>
      </c>
      <c r="D12" s="419">
        <f>('1-Баланс'!C85+'1-Баланс'!C92)/'1-Баланс'!G79</f>
        <v>0.28374620178194365</v>
      </c>
    </row>
    <row r="13" spans="1:4" ht="30.75">
      <c r="A13" s="371">
        <v>9</v>
      </c>
      <c r="B13" s="369" t="s">
        <v>594</v>
      </c>
      <c r="C13" s="370" t="s">
        <v>595</v>
      </c>
      <c r="D13" s="419">
        <f>'1-Баланс'!C92/'1-Баланс'!G79</f>
        <v>0.28374620178194365</v>
      </c>
    </row>
    <row r="14" spans="1:4" ht="24" customHeight="1">
      <c r="A14" s="423" t="s">
        <v>596</v>
      </c>
      <c r="B14" s="421"/>
      <c r="C14" s="421"/>
      <c r="D14" s="422"/>
    </row>
    <row r="15" spans="1:4" ht="30.7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1.9313030836330247</v>
      </c>
    </row>
    <row r="16" spans="1:4" ht="30.7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0.8404715127701375</v>
      </c>
    </row>
    <row r="17" spans="1:4" ht="24" customHeight="1">
      <c r="A17" s="423" t="s">
        <v>599</v>
      </c>
      <c r="B17" s="421"/>
      <c r="C17" s="421"/>
      <c r="D17" s="422"/>
    </row>
    <row r="18" spans="1:4" ht="30.75">
      <c r="A18" s="371">
        <v>12</v>
      </c>
      <c r="B18" s="369" t="s">
        <v>625</v>
      </c>
      <c r="C18" s="370" t="s">
        <v>598</v>
      </c>
      <c r="D18" s="419">
        <f>'1-Баланс'!G56/('1-Баланс'!G37+'1-Баланс'!G56)</f>
        <v>0.3496824498522291</v>
      </c>
    </row>
    <row r="19" spans="1:4" ht="30.75">
      <c r="A19" s="371">
        <v>13</v>
      </c>
      <c r="B19" s="369" t="s">
        <v>626</v>
      </c>
      <c r="C19" s="370" t="s">
        <v>600</v>
      </c>
      <c r="D19" s="419">
        <f>D4/D5</f>
        <v>1.0741359781197337</v>
      </c>
    </row>
    <row r="20" spans="1:4" ht="30.75">
      <c r="A20" s="371">
        <v>14</v>
      </c>
      <c r="B20" s="369" t="s">
        <v>601</v>
      </c>
      <c r="C20" s="370" t="s">
        <v>602</v>
      </c>
      <c r="D20" s="419">
        <f>D6/D5</f>
        <v>0.5178715327494923</v>
      </c>
    </row>
    <row r="21" spans="1:5" ht="1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20781</v>
      </c>
      <c r="E21" s="476"/>
    </row>
    <row r="22" spans="1:4" ht="46.5">
      <c r="A22" s="371">
        <v>16</v>
      </c>
      <c r="B22" s="369" t="s">
        <v>607</v>
      </c>
      <c r="C22" s="370" t="s">
        <v>608</v>
      </c>
      <c r="D22" s="425">
        <f>D21/'1-Баланс'!G37</f>
        <v>0.28705417576042214</v>
      </c>
    </row>
    <row r="23" spans="1:4" ht="30.75">
      <c r="A23" s="371">
        <v>17</v>
      </c>
      <c r="B23" s="369" t="s">
        <v>671</v>
      </c>
      <c r="C23" s="370" t="s">
        <v>672</v>
      </c>
      <c r="D23" s="425">
        <f>(D21+'2-Отчет за доходите'!C14)/'2-Отчет за доходите'!G31</f>
        <v>0.24066424762469857</v>
      </c>
    </row>
    <row r="24" spans="1:4" ht="30.75">
      <c r="A24" s="371">
        <v>18</v>
      </c>
      <c r="B24" s="369" t="s">
        <v>673</v>
      </c>
      <c r="C24" s="370" t="s">
        <v>674</v>
      </c>
      <c r="D24" s="425">
        <f>('1-Баланс'!G56+'1-Баланс'!G79)/(D21+'2-Отчет за доходите'!C14)</f>
        <v>2.457913202895344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"Спиди" АД</v>
      </c>
      <c r="B4" s="92" t="str">
        <f t="shared" si="1"/>
        <v>131371780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32059</v>
      </c>
    </row>
    <row r="5" spans="1:8" ht="15">
      <c r="A5" s="92" t="str">
        <f t="shared" si="0"/>
        <v>"Спиди" АД</v>
      </c>
      <c r="B5" s="92" t="str">
        <f t="shared" si="1"/>
        <v>131371780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2481</v>
      </c>
    </row>
    <row r="6" spans="1:8" ht="15">
      <c r="A6" s="92" t="str">
        <f t="shared" si="0"/>
        <v>"Спиди" АД</v>
      </c>
      <c r="B6" s="92" t="str">
        <f t="shared" si="1"/>
        <v>131371780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"Спиди" АД</v>
      </c>
      <c r="B7" s="92" t="str">
        <f t="shared" si="1"/>
        <v>131371780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21382</v>
      </c>
    </row>
    <row r="8" spans="1:8" ht="15">
      <c r="A8" s="92" t="str">
        <f t="shared" si="0"/>
        <v>"Спиди" АД</v>
      </c>
      <c r="B8" s="92" t="str">
        <f t="shared" si="1"/>
        <v>131371780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"Спиди" АД</v>
      </c>
      <c r="B9" s="92" t="str">
        <f t="shared" si="1"/>
        <v>131371780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6775</v>
      </c>
    </row>
    <row r="11" spans="1:8" ht="1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62697</v>
      </c>
    </row>
    <row r="12" spans="1:8" ht="1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2306</v>
      </c>
    </row>
    <row r="16" spans="1:8" ht="1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2306</v>
      </c>
    </row>
    <row r="19" spans="1:8" ht="1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2919</v>
      </c>
    </row>
    <row r="35" spans="1:8" ht="1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327</v>
      </c>
    </row>
    <row r="38" spans="1:8" ht="1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3246</v>
      </c>
    </row>
    <row r="39" spans="1:8" ht="1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363</v>
      </c>
    </row>
    <row r="41" spans="1:8" ht="1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114867</v>
      </c>
    </row>
    <row r="42" spans="1:8" ht="1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342</v>
      </c>
    </row>
    <row r="43" spans="1:8" ht="1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342</v>
      </c>
    </row>
    <row r="49" spans="1:8" ht="1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6604</v>
      </c>
    </row>
    <row r="50" spans="1:8" ht="1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14507</v>
      </c>
    </row>
    <row r="51" spans="1:8" ht="1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2816</v>
      </c>
    </row>
    <row r="57" spans="1:8" ht="1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23927</v>
      </c>
    </row>
    <row r="58" spans="1:8" ht="1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307</v>
      </c>
    </row>
    <row r="66" spans="1:8" ht="1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10712</v>
      </c>
    </row>
    <row r="67" spans="1:8" ht="1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11019</v>
      </c>
    </row>
    <row r="70" spans="1:8" ht="1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35288</v>
      </c>
    </row>
    <row r="72" spans="1:8" ht="1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150155</v>
      </c>
    </row>
    <row r="73" spans="1:8" ht="1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28835</v>
      </c>
    </row>
    <row r="88" spans="1:8" ht="1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28835</v>
      </c>
    </row>
    <row r="89" spans="1:8" ht="1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18078</v>
      </c>
    </row>
    <row r="92" spans="1:8" ht="1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46913</v>
      </c>
    </row>
    <row r="94" spans="1:8" ht="1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72394</v>
      </c>
    </row>
    <row r="95" spans="1:8" ht="1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36994</v>
      </c>
    </row>
    <row r="98" spans="1:8" ht="1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1760</v>
      </c>
    </row>
    <row r="102" spans="1:8" ht="1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38754</v>
      </c>
    </row>
    <row r="103" spans="1:8" ht="1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173</v>
      </c>
    </row>
    <row r="104" spans="1:8" ht="1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38927</v>
      </c>
    </row>
    <row r="108" spans="1:8" ht="1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17708</v>
      </c>
    </row>
    <row r="109" spans="1:8" ht="1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16103</v>
      </c>
    </row>
    <row r="111" spans="1:8" ht="1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2644</v>
      </c>
    </row>
    <row r="112" spans="1:8" ht="1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6279</v>
      </c>
    </row>
    <row r="114" spans="1:8" ht="1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4021</v>
      </c>
    </row>
    <row r="116" spans="1:8" ht="1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1185</v>
      </c>
    </row>
    <row r="117" spans="1:8" ht="1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1974</v>
      </c>
    </row>
    <row r="118" spans="1:8" ht="1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4985</v>
      </c>
    </row>
    <row r="119" spans="1:8" ht="1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38796</v>
      </c>
    </row>
    <row r="121" spans="1:8" ht="1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38</v>
      </c>
    </row>
    <row r="124" spans="1:8" ht="1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38834</v>
      </c>
    </row>
    <row r="125" spans="1:8" ht="1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150155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5667</v>
      </c>
    </row>
    <row r="128" spans="1:8" ht="1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61769</v>
      </c>
    </row>
    <row r="129" spans="1:8" ht="1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10856</v>
      </c>
    </row>
    <row r="130" spans="1:8" ht="1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26089</v>
      </c>
    </row>
    <row r="131" spans="1:8" ht="1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4621</v>
      </c>
    </row>
    <row r="132" spans="1:8" ht="1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1655</v>
      </c>
    </row>
    <row r="135" spans="1:8" ht="1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110657</v>
      </c>
    </row>
    <row r="138" spans="1:8" ht="1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1241</v>
      </c>
    </row>
    <row r="139" spans="1:8" ht="1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19</v>
      </c>
    </row>
    <row r="142" spans="1:8" ht="1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1260</v>
      </c>
    </row>
    <row r="143" spans="1:8" ht="1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111917</v>
      </c>
    </row>
    <row r="144" spans="1:8" ht="1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19540</v>
      </c>
    </row>
    <row r="145" spans="1:8" ht="1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111917</v>
      </c>
    </row>
    <row r="148" spans="1:8" ht="1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19540</v>
      </c>
    </row>
    <row r="149" spans="1:8" ht="1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1462</v>
      </c>
    </row>
    <row r="150" spans="1:8" ht="1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1462</v>
      </c>
    </row>
    <row r="151" spans="1:8" ht="1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18078</v>
      </c>
    </row>
    <row r="154" spans="1:8" ht="1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18078</v>
      </c>
    </row>
    <row r="156" spans="1:8" ht="1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131457</v>
      </c>
    </row>
    <row r="157" spans="1:8" ht="1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122600</v>
      </c>
    </row>
    <row r="160" spans="1:8" ht="1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3601</v>
      </c>
    </row>
    <row r="161" spans="1:8" ht="1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126201</v>
      </c>
    </row>
    <row r="162" spans="1:8" ht="1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91</v>
      </c>
    </row>
    <row r="163" spans="1:8" ht="1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91</v>
      </c>
    </row>
    <row r="164" spans="1:8" ht="1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240</v>
      </c>
    </row>
    <row r="165" spans="1:8" ht="1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4925</v>
      </c>
    </row>
    <row r="166" spans="1:8" ht="1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5165</v>
      </c>
    </row>
    <row r="170" spans="1:8" ht="1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131457</v>
      </c>
    </row>
    <row r="171" spans="1:8" ht="1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131457</v>
      </c>
    </row>
    <row r="175" spans="1:8" ht="1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131457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149797</v>
      </c>
    </row>
    <row r="182" spans="1:8" ht="1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-90943</v>
      </c>
    </row>
    <row r="183" spans="1:8" ht="1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-29991</v>
      </c>
    </row>
    <row r="185" spans="1:8" ht="1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-9063</v>
      </c>
    </row>
    <row r="186" spans="1:8" ht="1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-1272</v>
      </c>
    </row>
    <row r="187" spans="1:8" ht="1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-75</v>
      </c>
    </row>
    <row r="190" spans="1:8" ht="1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4855</v>
      </c>
    </row>
    <row r="191" spans="1:8" ht="1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23308</v>
      </c>
    </row>
    <row r="192" spans="1:8" ht="1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-2030</v>
      </c>
    </row>
    <row r="193" spans="1:8" ht="1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228</v>
      </c>
    </row>
    <row r="194" spans="1:8" ht="1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2924</v>
      </c>
    </row>
    <row r="196" spans="1:8" ht="1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240</v>
      </c>
    </row>
    <row r="197" spans="1:8" ht="1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-4133</v>
      </c>
    </row>
    <row r="198" spans="1:8" ht="1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4755</v>
      </c>
    </row>
    <row r="200" spans="1:8" ht="1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1984</v>
      </c>
    </row>
    <row r="203" spans="1:8" ht="1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-1996</v>
      </c>
    </row>
    <row r="207" spans="1:8" ht="1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-6574</v>
      </c>
    </row>
    <row r="208" spans="1:8" ht="1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-755</v>
      </c>
    </row>
    <row r="209" spans="1:8" ht="1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-10732</v>
      </c>
    </row>
    <row r="210" spans="1:8" ht="1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-20057</v>
      </c>
    </row>
    <row r="212" spans="1:8" ht="1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5235</v>
      </c>
    </row>
    <row r="213" spans="1:8" ht="1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5784</v>
      </c>
    </row>
    <row r="214" spans="1:8" ht="1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11019</v>
      </c>
    </row>
    <row r="215" spans="1:8" ht="1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39590</v>
      </c>
    </row>
    <row r="351" spans="1:8" ht="1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39590</v>
      </c>
    </row>
    <row r="355" spans="1:8" ht="1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18078</v>
      </c>
    </row>
    <row r="356" spans="1:8" ht="1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-10755</v>
      </c>
    </row>
    <row r="357" spans="1:8" ht="1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-10755</v>
      </c>
    </row>
    <row r="358" spans="1:8" ht="1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46913</v>
      </c>
    </row>
    <row r="369" spans="1:8" ht="1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46913</v>
      </c>
    </row>
    <row r="372" spans="1:8" ht="1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65071</v>
      </c>
    </row>
    <row r="417" spans="1:8" ht="1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65071</v>
      </c>
    </row>
    <row r="421" spans="1:8" ht="1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18078</v>
      </c>
    </row>
    <row r="422" spans="1:8" ht="1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-10755</v>
      </c>
    </row>
    <row r="423" spans="1:8" ht="1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-10755</v>
      </c>
    </row>
    <row r="424" spans="1:8" ht="1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72394</v>
      </c>
    </row>
    <row r="435" spans="1:8" ht="1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72394</v>
      </c>
    </row>
    <row r="438" spans="1:8" ht="1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2018-10-25T10:39:30Z</cp:lastPrinted>
  <dcterms:created xsi:type="dcterms:W3CDTF">2006-09-16T00:00:00Z</dcterms:created>
  <dcterms:modified xsi:type="dcterms:W3CDTF">2020-10-27T14:17:05Z</dcterms:modified>
  <cp:category/>
  <cp:version/>
  <cp:contentType/>
  <cp:contentStatus/>
</cp:coreProperties>
</file>