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340" tabRatio="772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<sst xmlns="http://schemas.openxmlformats.org/spreadsheetml/2006/main" count="1999" uniqueCount="697">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</sst>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44286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44309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Стефка Левиджова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44286</v>
      </c>
    </row>
    <row r="11" spans="1:2" ht="15.75">
      <c r="A11" s="7" t="s">
        <v>668</v>
      </c>
      <c r="B11" s="357">
        <v>44309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687</v>
      </c>
    </row>
    <row r="24" spans="1:2" ht="15.75">
      <c r="A24" s="10" t="s">
        <v>612</v>
      </c>
      <c r="B24" s="468" t="s">
        <v>688</v>
      </c>
    </row>
    <row r="25" spans="1:2" ht="15.75">
      <c r="A25" s="7" t="s">
        <v>615</v>
      </c>
      <c r="B25" s="469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1">
      <selection activeCell="G62" sqref="G62: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.75">
      <c r="A13" s="76" t="s">
        <v>27</v>
      </c>
      <c r="B13" s="78" t="s">
        <v>28</v>
      </c>
      <c r="C13" s="138">
        <v>38135</v>
      </c>
      <c r="D13" s="138">
        <v>39716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.75">
      <c r="A14" s="76" t="s">
        <v>30</v>
      </c>
      <c r="B14" s="78" t="s">
        <v>31</v>
      </c>
      <c r="C14" s="138">
        <v>4926</v>
      </c>
      <c r="D14" s="138">
        <v>4938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22561</v>
      </c>
      <c r="D16" s="138">
        <v>20908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7622</v>
      </c>
      <c r="D19" s="138">
        <v>7108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73244</v>
      </c>
      <c r="D20" s="377">
        <f>SUM(D12:D19)</f>
        <v>72670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2432</v>
      </c>
      <c r="D25" s="137">
        <v>2190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2432</v>
      </c>
      <c r="D28" s="377">
        <f>SUM(D24:D27)</f>
        <v>2190</v>
      </c>
      <c r="E28" s="143" t="s">
        <v>84</v>
      </c>
      <c r="F28" s="80" t="s">
        <v>85</v>
      </c>
      <c r="G28" s="374">
        <f>SUM(G29:G31)</f>
        <v>51398</v>
      </c>
      <c r="H28" s="375">
        <f>SUM(H29:H31)</f>
        <v>28888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51398</v>
      </c>
      <c r="H29" s="138">
        <v>28888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6295</v>
      </c>
      <c r="H32" s="138">
        <v>22510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57693</v>
      </c>
      <c r="H34" s="377">
        <f>H28+H32+H33</f>
        <v>51398</v>
      </c>
    </row>
    <row r="35" spans="1:8" ht="15.75">
      <c r="A35" s="76" t="s">
        <v>106</v>
      </c>
      <c r="B35" s="81" t="s">
        <v>107</v>
      </c>
      <c r="C35" s="374">
        <f>SUM(C36:C39)</f>
        <v>46255</v>
      </c>
      <c r="D35" s="375">
        <f>SUM(D36:D39)</f>
        <v>46255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46255</v>
      </c>
      <c r="D36" s="137">
        <v>46255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83174</v>
      </c>
      <c r="H37" s="379">
        <f>H26+H18+H34</f>
        <v>76879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f>44252-735</f>
        <v>43517</v>
      </c>
      <c r="H45" s="138">
        <v>46034</v>
      </c>
    </row>
    <row r="46" spans="1:13" ht="15.75">
      <c r="A46" s="264" t="s">
        <v>137</v>
      </c>
      <c r="B46" s="83" t="s">
        <v>138</v>
      </c>
      <c r="C46" s="376">
        <f>C35+C40+C45</f>
        <v>46255</v>
      </c>
      <c r="D46" s="377">
        <f>D35+D40+D45</f>
        <v>46255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1418</v>
      </c>
      <c r="D48" s="138">
        <v>1917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1547</v>
      </c>
      <c r="H49" s="138">
        <v>1547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4">
        <f>SUM(G44:G49)</f>
        <v>45064</v>
      </c>
      <c r="H50" s="375">
        <f>SUM(H44:H49)</f>
        <v>47581</v>
      </c>
    </row>
    <row r="51" spans="1:8" ht="15.75">
      <c r="A51" s="76" t="s">
        <v>79</v>
      </c>
      <c r="B51" s="78" t="s">
        <v>155</v>
      </c>
      <c r="C51" s="138">
        <v>445</v>
      </c>
      <c r="D51" s="138">
        <v>445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1863</v>
      </c>
      <c r="D52" s="377">
        <f>SUM(D48:D51)</f>
        <v>2362</v>
      </c>
      <c r="E52" s="142" t="s">
        <v>158</v>
      </c>
      <c r="F52" s="82" t="s">
        <v>159</v>
      </c>
      <c r="G52" s="138">
        <v>283</v>
      </c>
      <c r="H52" s="137">
        <v>283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465</v>
      </c>
      <c r="D55" s="270">
        <v>465</v>
      </c>
      <c r="E55" s="76" t="s">
        <v>168</v>
      </c>
      <c r="F55" s="82" t="s">
        <v>169</v>
      </c>
      <c r="G55" s="138">
        <v>12</v>
      </c>
      <c r="H55" s="137">
        <v>16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124259</v>
      </c>
      <c r="D56" s="381">
        <f>D20+D21+D22+D28+D33+D46+D52+D54+D55</f>
        <v>123942</v>
      </c>
      <c r="E56" s="87" t="s">
        <v>557</v>
      </c>
      <c r="F56" s="86" t="s">
        <v>172</v>
      </c>
      <c r="G56" s="378">
        <f>G50+G52+G53+G54+G55</f>
        <v>45359</v>
      </c>
      <c r="H56" s="379">
        <f>H50+H52+H53+H54+H55</f>
        <v>47880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332</v>
      </c>
      <c r="D59" s="137">
        <v>395</v>
      </c>
      <c r="E59" s="142" t="s">
        <v>180</v>
      </c>
      <c r="F59" s="277" t="s">
        <v>181</v>
      </c>
      <c r="G59" s="138">
        <f>14528+300+3344</f>
        <v>18172</v>
      </c>
      <c r="H59" s="137">
        <v>16197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20060</v>
      </c>
      <c r="H61" s="375">
        <f>SUM(H62:H68)</f>
        <v>17655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2972</v>
      </c>
      <c r="H62" s="138">
        <v>2895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9726-2862+984</f>
        <v>7848</v>
      </c>
      <c r="H64" s="138">
        <v>5893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332</v>
      </c>
      <c r="D65" s="377">
        <f>SUM(D59:D64)</f>
        <v>395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5071</v>
      </c>
      <c r="H66" s="138">
        <v>4931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1328</v>
      </c>
      <c r="H67" s="138">
        <v>1364</v>
      </c>
    </row>
    <row r="68" spans="1:8" ht="15.75">
      <c r="A68" s="76" t="s">
        <v>206</v>
      </c>
      <c r="B68" s="78" t="s">
        <v>207</v>
      </c>
      <c r="C68" s="138">
        <f>1995+2595</f>
        <v>4590</v>
      </c>
      <c r="D68" s="138">
        <v>6294</v>
      </c>
      <c r="E68" s="76" t="s">
        <v>212</v>
      </c>
      <c r="F68" s="80" t="s">
        <v>213</v>
      </c>
      <c r="G68" s="138">
        <v>2841</v>
      </c>
      <c r="H68" s="138">
        <v>2572</v>
      </c>
    </row>
    <row r="69" spans="1:8" ht="15.75">
      <c r="A69" s="76" t="s">
        <v>210</v>
      </c>
      <c r="B69" s="78" t="s">
        <v>211</v>
      </c>
      <c r="C69" s="138">
        <f>20146+196-2595-124</f>
        <v>17623</v>
      </c>
      <c r="D69" s="138">
        <v>16124</v>
      </c>
      <c r="E69" s="142" t="s">
        <v>79</v>
      </c>
      <c r="F69" s="80" t="s">
        <v>216</v>
      </c>
      <c r="G69" s="138">
        <v>2624</v>
      </c>
      <c r="H69" s="138">
        <v>12530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40856</v>
      </c>
      <c r="H71" s="377">
        <f>H59+H60+H61+H69+H70</f>
        <v>46382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1353+981</f>
        <v>2334</v>
      </c>
      <c r="D75" s="138">
        <v>4488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24547</v>
      </c>
      <c r="D76" s="377">
        <f>SUM(D68:D75)</f>
        <v>26906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17</v>
      </c>
      <c r="H77" s="270">
        <v>17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40873</v>
      </c>
      <c r="H79" s="379">
        <f>H71+H73+H75+H77</f>
        <v>46399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82</v>
      </c>
      <c r="D88" s="138">
        <v>887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20074</v>
      </c>
      <c r="D89" s="138">
        <v>18916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112</v>
      </c>
      <c r="D90" s="138">
        <v>112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20268</v>
      </c>
      <c r="D92" s="377">
        <f>SUM(D88:D91)</f>
        <v>19915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45147</v>
      </c>
      <c r="D94" s="381">
        <f>D65+D76+D85+D92+D93</f>
        <v>47216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169406</v>
      </c>
      <c r="D95" s="383">
        <f>D94+D56</f>
        <v>171158</v>
      </c>
      <c r="E95" s="169" t="s">
        <v>635</v>
      </c>
      <c r="F95" s="280" t="s">
        <v>268</v>
      </c>
      <c r="G95" s="382">
        <f>G37+G40+G56+G79</f>
        <v>169406</v>
      </c>
      <c r="H95" s="383">
        <f>H37+H40+H56+H79</f>
        <v>171158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44309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Стефка Левиджова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9">
      <selection activeCell="C15" sqref="C15: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2347</v>
      </c>
      <c r="D12" s="256">
        <f>1922+420</f>
        <v>2342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25102</v>
      </c>
      <c r="D13" s="256">
        <v>18626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3978</v>
      </c>
      <c r="D14" s="256">
        <v>3528</v>
      </c>
      <c r="E14" s="185" t="s">
        <v>285</v>
      </c>
      <c r="F14" s="180" t="s">
        <v>286</v>
      </c>
      <c r="G14" s="256">
        <v>49312</v>
      </c>
      <c r="H14" s="256">
        <v>37519</v>
      </c>
    </row>
    <row r="15" spans="1:8" ht="15.75">
      <c r="A15" s="135" t="s">
        <v>287</v>
      </c>
      <c r="B15" s="131" t="s">
        <v>288</v>
      </c>
      <c r="C15" s="256">
        <v>9762</v>
      </c>
      <c r="D15" s="256">
        <v>8025</v>
      </c>
      <c r="E15" s="185" t="s">
        <v>79</v>
      </c>
      <c r="F15" s="180" t="s">
        <v>289</v>
      </c>
      <c r="G15" s="256">
        <v>1201</v>
      </c>
      <c r="H15" s="256">
        <v>1133</v>
      </c>
    </row>
    <row r="16" spans="1:8" ht="15.75">
      <c r="A16" s="135" t="s">
        <v>290</v>
      </c>
      <c r="B16" s="131" t="s">
        <v>291</v>
      </c>
      <c r="C16" s="256">
        <v>1689</v>
      </c>
      <c r="D16" s="256">
        <v>1425</v>
      </c>
      <c r="E16" s="176" t="s">
        <v>52</v>
      </c>
      <c r="F16" s="204" t="s">
        <v>292</v>
      </c>
      <c r="G16" s="407">
        <f>SUM(G12:G15)</f>
        <v>50513</v>
      </c>
      <c r="H16" s="408">
        <f>SUM(H12:H15)</f>
        <v>38652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4</v>
      </c>
      <c r="H18" s="418">
        <v>56</v>
      </c>
    </row>
    <row r="19" spans="1:8" ht="15.75">
      <c r="A19" s="135" t="s">
        <v>299</v>
      </c>
      <c r="B19" s="131" t="s">
        <v>300</v>
      </c>
      <c r="C19" s="256">
        <v>295</v>
      </c>
      <c r="D19" s="256">
        <f>681-420</f>
        <v>261</v>
      </c>
      <c r="E19" s="135" t="s">
        <v>301</v>
      </c>
      <c r="F19" s="177" t="s">
        <v>302</v>
      </c>
      <c r="G19" s="256">
        <v>4</v>
      </c>
      <c r="H19" s="256">
        <v>56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43173</v>
      </c>
      <c r="D22" s="408">
        <f>SUM(D12:D18)+D19</f>
        <v>34207</v>
      </c>
      <c r="E22" s="135" t="s">
        <v>309</v>
      </c>
      <c r="F22" s="177" t="s">
        <v>310</v>
      </c>
      <c r="G22" s="256">
        <v>42</v>
      </c>
      <c r="H22" s="256">
        <v>86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385</v>
      </c>
      <c r="D25" s="256">
        <v>436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42</v>
      </c>
      <c r="H27" s="408">
        <f>SUM(H22:H26)</f>
        <v>86</v>
      </c>
    </row>
    <row r="28" spans="1:8" ht="15.75">
      <c r="A28" s="135" t="s">
        <v>79</v>
      </c>
      <c r="B28" s="177" t="s">
        <v>327</v>
      </c>
      <c r="C28" s="256">
        <v>6</v>
      </c>
      <c r="D28" s="256">
        <v>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391</v>
      </c>
      <c r="D29" s="408">
        <f>SUM(D25:D28)</f>
        <v>443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43564</v>
      </c>
      <c r="D31" s="414">
        <f>D29+D22</f>
        <v>34650</v>
      </c>
      <c r="E31" s="191" t="s">
        <v>548</v>
      </c>
      <c r="F31" s="206" t="s">
        <v>331</v>
      </c>
      <c r="G31" s="193">
        <f>G16+G18+G27</f>
        <v>50559</v>
      </c>
      <c r="H31" s="194">
        <f>H16+H18+H27</f>
        <v>38794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6995</v>
      </c>
      <c r="D33" s="184">
        <f>IF((H31-D31)&gt;0,H31-D31,0)</f>
        <v>4144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43564</v>
      </c>
      <c r="D36" s="416">
        <f>D31-D34+D35</f>
        <v>34650</v>
      </c>
      <c r="E36" s="202" t="s">
        <v>346</v>
      </c>
      <c r="F36" s="196" t="s">
        <v>347</v>
      </c>
      <c r="G36" s="207">
        <f>G35-G34+G31</f>
        <v>50559</v>
      </c>
      <c r="H36" s="208">
        <f>H35-H34+H31</f>
        <v>38794</v>
      </c>
    </row>
    <row r="37" spans="1:8" ht="15.75">
      <c r="A37" s="201" t="s">
        <v>348</v>
      </c>
      <c r="B37" s="171" t="s">
        <v>349</v>
      </c>
      <c r="C37" s="413">
        <f>IF((G36-C36)&gt;0,G36-C36,0)</f>
        <v>6995</v>
      </c>
      <c r="D37" s="414">
        <f>IF((H36-D36)&gt;0,H36-D36,0)</f>
        <v>4144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700</v>
      </c>
      <c r="D38" s="408">
        <f>D39+D40+D41</f>
        <v>414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700</v>
      </c>
      <c r="D39" s="256">
        <v>414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6295</v>
      </c>
      <c r="D42" s="184">
        <f>+IF((H36-D36-D38)&gt;0,H36-D36-D38,0)</f>
        <v>3730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6295</v>
      </c>
      <c r="D44" s="208">
        <f>IF(H42=0,IF(D42-D43&gt;0,D42-D43+H43,0),IF(H42-H43&lt;0,H43-H42+D42,0))</f>
        <v>3730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50559</v>
      </c>
      <c r="D45" s="410">
        <f>D36+D38+D42</f>
        <v>38794</v>
      </c>
      <c r="E45" s="210" t="s">
        <v>373</v>
      </c>
      <c r="F45" s="212" t="s">
        <v>374</v>
      </c>
      <c r="G45" s="409">
        <f>G42+G36</f>
        <v>50559</v>
      </c>
      <c r="H45" s="410">
        <f>H42+H36</f>
        <v>38794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44309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Стефка Левиджова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23" sqref="C2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62538</v>
      </c>
      <c r="D11" s="138">
        <v>46590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-37774</v>
      </c>
      <c r="D12" s="138">
        <f>-29273+445+543</f>
        <v>-28285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7-11486+814</f>
        <v>-10665</v>
      </c>
      <c r="D14" s="138">
        <v>-9148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-2858-814</f>
        <v>-3672</v>
      </c>
      <c r="D15" s="138">
        <v>-3410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-21</v>
      </c>
      <c r="D19" s="138">
        <v>-13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-5098</v>
      </c>
      <c r="D20" s="138">
        <v>1560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5308</v>
      </c>
      <c r="D21" s="437">
        <f>SUM(D11:D20)</f>
        <v>7294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f>-304-1793</f>
        <v>-2097</v>
      </c>
      <c r="D23" s="138">
        <v>-445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39</v>
      </c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499</v>
      </c>
      <c r="D26" s="138">
        <v>499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44</v>
      </c>
      <c r="D27" s="138">
        <v>86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-1515</v>
      </c>
      <c r="D33" s="437">
        <f>SUM(D23:D32)</f>
        <v>140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300</v>
      </c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>
        <v>-220</v>
      </c>
      <c r="D38" s="138">
        <f>-491-522</f>
        <v>-1013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f>-1889-1594</f>
        <v>-3483</v>
      </c>
      <c r="D39" s="138">
        <f>-1804-543</f>
        <v>-2347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-27-10</f>
        <v>-37</v>
      </c>
      <c r="D40" s="138">
        <v>-201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-3440</v>
      </c>
      <c r="D43" s="439">
        <f>SUM(D35:D42)</f>
        <v>-3561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353</v>
      </c>
      <c r="D44" s="247">
        <f>D43+D33+D21</f>
        <v>3873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19915</v>
      </c>
      <c r="D45" s="249">
        <v>5784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20268</v>
      </c>
      <c r="D46" s="251">
        <f>D45+D44</f>
        <v>9657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44309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Стефка Левиджова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18" sqref="I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51398</v>
      </c>
      <c r="J13" s="363">
        <f>'1-Баланс'!H30+'1-Баланс'!H33</f>
        <v>0</v>
      </c>
      <c r="K13" s="364"/>
      <c r="L13" s="363">
        <f>SUM(C13:K13)</f>
        <v>76879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5378</v>
      </c>
      <c r="D17" s="431">
        <f aca="true" t="shared" si="2" ref="D17:M17">D13+D14</f>
        <v>19565</v>
      </c>
      <c r="E17" s="431">
        <f t="shared" si="2"/>
        <v>0</v>
      </c>
      <c r="F17" s="431">
        <f t="shared" si="2"/>
        <v>538</v>
      </c>
      <c r="G17" s="431">
        <f t="shared" si="2"/>
        <v>0</v>
      </c>
      <c r="H17" s="431">
        <f t="shared" si="2"/>
        <v>0</v>
      </c>
      <c r="I17" s="431">
        <f t="shared" si="2"/>
        <v>51398</v>
      </c>
      <c r="J17" s="431">
        <f t="shared" si="2"/>
        <v>0</v>
      </c>
      <c r="K17" s="431">
        <f t="shared" si="2"/>
        <v>0</v>
      </c>
      <c r="L17" s="363">
        <f t="shared" si="1"/>
        <v>76879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6295</v>
      </c>
      <c r="J18" s="363">
        <f>+'1-Баланс'!G33</f>
        <v>0</v>
      </c>
      <c r="K18" s="364"/>
      <c r="L18" s="363">
        <f t="shared" si="1"/>
        <v>6295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5378</v>
      </c>
      <c r="D31" s="431">
        <f aca="true" t="shared" si="6" ref="D31:M31">D19+D22+D23+D26+D30+D29+D17+D18</f>
        <v>19565</v>
      </c>
      <c r="E31" s="431">
        <f t="shared" si="6"/>
        <v>0</v>
      </c>
      <c r="F31" s="431">
        <f t="shared" si="6"/>
        <v>538</v>
      </c>
      <c r="G31" s="431">
        <f t="shared" si="6"/>
        <v>0</v>
      </c>
      <c r="H31" s="431">
        <f t="shared" si="6"/>
        <v>0</v>
      </c>
      <c r="I31" s="431">
        <f t="shared" si="6"/>
        <v>57693</v>
      </c>
      <c r="J31" s="431">
        <f t="shared" si="6"/>
        <v>0</v>
      </c>
      <c r="K31" s="431">
        <f t="shared" si="6"/>
        <v>0</v>
      </c>
      <c r="L31" s="363">
        <f t="shared" si="1"/>
        <v>83174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57693</v>
      </c>
      <c r="J34" s="366">
        <f t="shared" si="7"/>
        <v>0</v>
      </c>
      <c r="K34" s="366">
        <f t="shared" si="7"/>
        <v>0</v>
      </c>
      <c r="L34" s="429">
        <f t="shared" si="1"/>
        <v>83174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44309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Стефка Левиджова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D17" sqref="D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692</v>
      </c>
      <c r="B12" s="458"/>
      <c r="C12" s="79">
        <v>982</v>
      </c>
      <c r="D12" s="79">
        <v>100</v>
      </c>
      <c r="E12" s="79"/>
      <c r="F12" s="260">
        <f>C12-E12</f>
        <v>982</v>
      </c>
    </row>
    <row r="13" spans="1:6" ht="15.75">
      <c r="A13" s="457" t="s">
        <v>693</v>
      </c>
      <c r="B13" s="458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.75">
      <c r="A14" s="457" t="s">
        <v>694</v>
      </c>
      <c r="B14" s="458"/>
      <c r="C14" s="79">
        <v>17300</v>
      </c>
      <c r="D14" s="79">
        <v>100</v>
      </c>
      <c r="E14" s="79"/>
      <c r="F14" s="260">
        <f t="shared" si="0"/>
        <v>17300</v>
      </c>
    </row>
    <row r="15" spans="1:6" ht="15.75">
      <c r="A15" s="457" t="s">
        <v>695</v>
      </c>
      <c r="B15" s="458"/>
      <c r="C15" s="79">
        <v>16456</v>
      </c>
      <c r="D15" s="79">
        <v>100</v>
      </c>
      <c r="E15" s="79"/>
      <c r="F15" s="260">
        <f t="shared" si="0"/>
        <v>16456</v>
      </c>
    </row>
    <row r="16" spans="1:6" ht="15.75">
      <c r="A16" s="457" t="s">
        <v>696</v>
      </c>
      <c r="B16" s="458"/>
      <c r="C16" s="79">
        <v>3352</v>
      </c>
      <c r="D16" s="79">
        <v>100</v>
      </c>
      <c r="E16" s="79"/>
      <c r="F16" s="260">
        <f t="shared" si="0"/>
        <v>3352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46255</v>
      </c>
      <c r="D27" s="263"/>
      <c r="E27" s="263">
        <f>SUM(E12:E26)</f>
        <v>0</v>
      </c>
      <c r="F27" s="263">
        <f>SUM(F12:F26)</f>
        <v>46255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46255</v>
      </c>
      <c r="D79" s="263"/>
      <c r="E79" s="263">
        <f>E78+E61+E44+E27</f>
        <v>0</v>
      </c>
      <c r="F79" s="263">
        <f>F78+F61+F44+F27</f>
        <v>46255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44309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Стефка Левиджова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"СПИДИ"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01.01.2021 г. до 31.03.2021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169406</v>
      </c>
      <c r="D6" s="453">
        <f aca="true" t="shared" si="0" ref="D6:D15">C6-E6</f>
        <v>0</v>
      </c>
      <c r="E6" s="452">
        <f>'1-Баланс'!G95</f>
        <v>169406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83174</v>
      </c>
      <c r="D7" s="453">
        <f t="shared" si="0"/>
        <v>77796</v>
      </c>
      <c r="E7" s="452">
        <f>'1-Баланс'!G18</f>
        <v>5378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6295</v>
      </c>
      <c r="D8" s="453">
        <f t="shared" si="0"/>
        <v>0</v>
      </c>
      <c r="E8" s="452">
        <f>ABS('2-Отчет за доходите'!C44)-ABS('2-Отчет за доходите'!G44)</f>
        <v>6295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19915</v>
      </c>
      <c r="D9" s="453">
        <f t="shared" si="0"/>
        <v>0</v>
      </c>
      <c r="E9" s="452">
        <f>'3-Отчет за паричния поток'!C45</f>
        <v>19915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20268</v>
      </c>
      <c r="D10" s="453">
        <f t="shared" si="0"/>
        <v>0</v>
      </c>
      <c r="E10" s="452">
        <f>'3-Отчет за паричния поток'!C46</f>
        <v>20268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83174</v>
      </c>
      <c r="D11" s="453">
        <f t="shared" si="0"/>
        <v>0</v>
      </c>
      <c r="E11" s="452">
        <f>'4-Отчет за собствения капитал'!L34</f>
        <v>83174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46255</v>
      </c>
      <c r="D12" s="453">
        <f t="shared" si="0"/>
        <v>0</v>
      </c>
      <c r="E12" s="452">
        <f>'Справка 5'!C27+'Справка 5'!C97</f>
        <v>46255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0.1246213845940649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0.07568470916392142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0.07300074218387606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0.03715925055783148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1.1605683591956661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1.1045678075991485</v>
      </c>
    </row>
    <row r="11" spans="1:4" ht="63">
      <c r="A11" s="371">
        <v>7</v>
      </c>
      <c r="B11" s="369" t="s">
        <v>592</v>
      </c>
      <c r="C11" s="370" t="s">
        <v>657</v>
      </c>
      <c r="D11" s="419">
        <f>('1-Баланс'!C76+'1-Баланс'!C85+'1-Баланс'!C92)/'1-Баланс'!G79</f>
        <v>1.0964450859980917</v>
      </c>
    </row>
    <row r="12" spans="1:4" ht="47.25">
      <c r="A12" s="371">
        <v>8</v>
      </c>
      <c r="B12" s="369" t="s">
        <v>593</v>
      </c>
      <c r="C12" s="370" t="s">
        <v>658</v>
      </c>
      <c r="D12" s="419">
        <f>('1-Баланс'!C85+'1-Баланс'!C92)/'1-Баланс'!G79</f>
        <v>0.4958774741271744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0.4958774741271744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0.6645747816019366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0.29817716019503443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625</v>
      </c>
      <c r="C18" s="370" t="s">
        <v>598</v>
      </c>
      <c r="D18" s="419">
        <f>'1-Баланс'!G56/('1-Баланс'!G37+'1-Баланс'!G56)</f>
        <v>0.35289769942349436</v>
      </c>
    </row>
    <row r="19" spans="1:4" ht="31.5">
      <c r="A19" s="371">
        <v>13</v>
      </c>
      <c r="B19" s="369" t="s">
        <v>626</v>
      </c>
      <c r="C19" s="370" t="s">
        <v>600</v>
      </c>
      <c r="D19" s="419">
        <f>D4/D5</f>
        <v>1.03676629716017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0.5090256543451825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7380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0.0887296510928896</v>
      </c>
    </row>
    <row r="23" spans="1:4" ht="31.5">
      <c r="A23" s="371">
        <v>17</v>
      </c>
      <c r="B23" s="369" t="s">
        <v>671</v>
      </c>
      <c r="C23" s="370" t="s">
        <v>672</v>
      </c>
      <c r="D23" s="425">
        <f>(D21+'2-Отчет за доходите'!C14)/'2-Отчет за доходите'!G31</f>
        <v>0.22464843054649025</v>
      </c>
    </row>
    <row r="24" spans="1:4" ht="31.5">
      <c r="A24" s="371">
        <v>18</v>
      </c>
      <c r="B24" s="369" t="s">
        <v>673</v>
      </c>
      <c r="C24" s="370" t="s">
        <v>674</v>
      </c>
      <c r="D24" s="425">
        <f>('1-Баланс'!G56+'1-Баланс'!G79)/(D21+'2-Отчет за доходите'!C14)</f>
        <v>7.592181722134178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"Спиди" АД</v>
      </c>
      <c r="B4" s="92" t="str">
        <f t="shared" si="1"/>
        <v>131371780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38135</v>
      </c>
    </row>
    <row r="5" spans="1:8" ht="15.75">
      <c r="A5" s="92" t="str">
        <f t="shared" si="0"/>
        <v>"Спиди" АД</v>
      </c>
      <c r="B5" s="92" t="str">
        <f t="shared" si="1"/>
        <v>131371780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4926</v>
      </c>
    </row>
    <row r="6" spans="1:8" ht="15.75">
      <c r="A6" s="92" t="str">
        <f t="shared" si="0"/>
        <v>"Спиди" АД</v>
      </c>
      <c r="B6" s="92" t="str">
        <f t="shared" si="1"/>
        <v>131371780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"Спиди" АД</v>
      </c>
      <c r="B7" s="92" t="str">
        <f t="shared" si="1"/>
        <v>131371780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22561</v>
      </c>
    </row>
    <row r="8" spans="1:8" ht="15.75">
      <c r="A8" s="92" t="str">
        <f t="shared" si="0"/>
        <v>"Спиди" АД</v>
      </c>
      <c r="B8" s="92" t="str">
        <f t="shared" si="1"/>
        <v>131371780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"Спиди" АД</v>
      </c>
      <c r="B9" s="92" t="str">
        <f t="shared" si="1"/>
        <v>131371780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7622</v>
      </c>
    </row>
    <row r="11" spans="1:8" ht="15.7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73244</v>
      </c>
    </row>
    <row r="12" spans="1:8" ht="15.7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2432</v>
      </c>
    </row>
    <row r="16" spans="1:8" ht="15.7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2432</v>
      </c>
    </row>
    <row r="19" spans="1:8" ht="15.7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46255</v>
      </c>
    </row>
    <row r="23" spans="1:8" ht="15.7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46255</v>
      </c>
    </row>
    <row r="24" spans="1:8" ht="15.7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46255</v>
      </c>
    </row>
    <row r="34" spans="1:8" ht="15.7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1418</v>
      </c>
    </row>
    <row r="35" spans="1:8" ht="15.7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445</v>
      </c>
    </row>
    <row r="38" spans="1:8" ht="15.7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1863</v>
      </c>
    </row>
    <row r="39" spans="1:8" ht="15.7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465</v>
      </c>
    </row>
    <row r="41" spans="1:8" ht="15.7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124259</v>
      </c>
    </row>
    <row r="42" spans="1:8" ht="15.7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332</v>
      </c>
    </row>
    <row r="43" spans="1:8" ht="15.7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332</v>
      </c>
    </row>
    <row r="49" spans="1:8" ht="15.7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4590</v>
      </c>
    </row>
    <row r="50" spans="1:8" ht="15.7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17623</v>
      </c>
    </row>
    <row r="51" spans="1:8" ht="15.7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2334</v>
      </c>
    </row>
    <row r="57" spans="1:8" ht="15.7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24547</v>
      </c>
    </row>
    <row r="58" spans="1:8" ht="15.7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82</v>
      </c>
    </row>
    <row r="66" spans="1:8" ht="15.7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20074</v>
      </c>
    </row>
    <row r="67" spans="1:8" ht="15.7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112</v>
      </c>
    </row>
    <row r="68" spans="1:8" ht="15.7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20268</v>
      </c>
    </row>
    <row r="70" spans="1:8" ht="15.7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45147</v>
      </c>
    </row>
    <row r="72" spans="1:8" ht="15.7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169406</v>
      </c>
    </row>
    <row r="73" spans="1:8" ht="15.7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.7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.7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.7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.7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.7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.7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.7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51398</v>
      </c>
    </row>
    <row r="88" spans="1:8" ht="15.7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51398</v>
      </c>
    </row>
    <row r="89" spans="1:8" ht="15.7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6295</v>
      </c>
    </row>
    <row r="92" spans="1:8" ht="15.7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57693</v>
      </c>
    </row>
    <row r="94" spans="1:8" ht="15.7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83174</v>
      </c>
    </row>
    <row r="95" spans="1:8" ht="15.7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43517</v>
      </c>
    </row>
    <row r="98" spans="1:8" ht="15.7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1547</v>
      </c>
    </row>
    <row r="102" spans="1:8" ht="15.7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45064</v>
      </c>
    </row>
    <row r="103" spans="1:8" ht="15.7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283</v>
      </c>
    </row>
    <row r="104" spans="1:8" ht="15.7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12</v>
      </c>
    </row>
    <row r="107" spans="1:8" ht="15.7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45359</v>
      </c>
    </row>
    <row r="108" spans="1:8" ht="15.7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18172</v>
      </c>
    </row>
    <row r="109" spans="1:8" ht="15.7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20060</v>
      </c>
    </row>
    <row r="111" spans="1:8" ht="15.7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2972</v>
      </c>
    </row>
    <row r="112" spans="1:8" ht="15.7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7848</v>
      </c>
    </row>
    <row r="114" spans="1:8" ht="15.7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5071</v>
      </c>
    </row>
    <row r="116" spans="1:8" ht="15.7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1328</v>
      </c>
    </row>
    <row r="117" spans="1:8" ht="15.7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2841</v>
      </c>
    </row>
    <row r="118" spans="1:8" ht="15.7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2624</v>
      </c>
    </row>
    <row r="119" spans="1:8" ht="15.7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40856</v>
      </c>
    </row>
    <row r="121" spans="1:8" ht="15.7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17</v>
      </c>
    </row>
    <row r="124" spans="1:8" ht="15.7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40873</v>
      </c>
    </row>
    <row r="125" spans="1:8" ht="15.7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169406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2347</v>
      </c>
    </row>
    <row r="128" spans="1:8" ht="15.7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25102</v>
      </c>
    </row>
    <row r="129" spans="1:8" ht="15.7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3978</v>
      </c>
    </row>
    <row r="130" spans="1:8" ht="15.7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9762</v>
      </c>
    </row>
    <row r="131" spans="1:8" ht="15.7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1689</v>
      </c>
    </row>
    <row r="132" spans="1:8" ht="15.7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295</v>
      </c>
    </row>
    <row r="135" spans="1:8" ht="15.7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43173</v>
      </c>
    </row>
    <row r="138" spans="1:8" ht="15.7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385</v>
      </c>
    </row>
    <row r="139" spans="1:8" ht="15.7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6</v>
      </c>
    </row>
    <row r="142" spans="1:8" ht="15.7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391</v>
      </c>
    </row>
    <row r="143" spans="1:8" ht="15.7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43564</v>
      </c>
    </row>
    <row r="144" spans="1:8" ht="15.7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6995</v>
      </c>
    </row>
    <row r="145" spans="1:8" ht="15.7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43564</v>
      </c>
    </row>
    <row r="148" spans="1:8" ht="15.7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6995</v>
      </c>
    </row>
    <row r="149" spans="1:8" ht="15.7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700</v>
      </c>
    </row>
    <row r="150" spans="1:8" ht="15.7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700</v>
      </c>
    </row>
    <row r="151" spans="1:8" ht="15.7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6295</v>
      </c>
    </row>
    <row r="154" spans="1:8" ht="15.7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6295</v>
      </c>
    </row>
    <row r="156" spans="1:8" ht="15.7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50559</v>
      </c>
    </row>
    <row r="157" spans="1:8" ht="15.7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49312</v>
      </c>
    </row>
    <row r="160" spans="1:8" ht="15.7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1201</v>
      </c>
    </row>
    <row r="161" spans="1:8" ht="15.7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50513</v>
      </c>
    </row>
    <row r="162" spans="1:8" ht="15.7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4</v>
      </c>
    </row>
    <row r="163" spans="1:8" ht="15.7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4</v>
      </c>
    </row>
    <row r="164" spans="1:8" ht="15.7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42</v>
      </c>
    </row>
    <row r="165" spans="1:8" ht="15.7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42</v>
      </c>
    </row>
    <row r="170" spans="1:8" ht="15.7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50559</v>
      </c>
    </row>
    <row r="171" spans="1:8" ht="15.7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50559</v>
      </c>
    </row>
    <row r="175" spans="1:8" ht="15.7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50559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62538</v>
      </c>
    </row>
    <row r="182" spans="1:8" ht="15.7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-37774</v>
      </c>
    </row>
    <row r="183" spans="1:8" ht="15.7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-10665</v>
      </c>
    </row>
    <row r="185" spans="1:8" ht="15.7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-3672</v>
      </c>
    </row>
    <row r="186" spans="1:8" ht="15.7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-21</v>
      </c>
    </row>
    <row r="190" spans="1:8" ht="15.7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-5098</v>
      </c>
    </row>
    <row r="191" spans="1:8" ht="15.7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5308</v>
      </c>
    </row>
    <row r="192" spans="1:8" ht="15.7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-2097</v>
      </c>
    </row>
    <row r="193" spans="1:8" ht="15.7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39</v>
      </c>
    </row>
    <row r="194" spans="1:8" ht="15.7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499</v>
      </c>
    </row>
    <row r="196" spans="1:8" ht="15.7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44</v>
      </c>
    </row>
    <row r="197" spans="1:8" ht="15.7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-1515</v>
      </c>
    </row>
    <row r="203" spans="1:8" ht="15.7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300</v>
      </c>
    </row>
    <row r="206" spans="1:8" ht="15.7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-220</v>
      </c>
    </row>
    <row r="207" spans="1:8" ht="15.7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-3483</v>
      </c>
    </row>
    <row r="208" spans="1:8" ht="15.7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-37</v>
      </c>
    </row>
    <row r="209" spans="1:8" ht="15.7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-3440</v>
      </c>
    </row>
    <row r="212" spans="1:8" ht="15.7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353</v>
      </c>
    </row>
    <row r="213" spans="1:8" ht="15.7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19915</v>
      </c>
    </row>
    <row r="214" spans="1:8" ht="15.7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20268</v>
      </c>
    </row>
    <row r="215" spans="1:8" ht="15.7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.7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.7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.7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.7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.7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.7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.7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.7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.7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.7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.7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.7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51398</v>
      </c>
    </row>
    <row r="351" spans="1:8" ht="15.7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51398</v>
      </c>
    </row>
    <row r="355" spans="1:8" ht="15.7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6295</v>
      </c>
    </row>
    <row r="356" spans="1:8" ht="15.7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57693</v>
      </c>
    </row>
    <row r="369" spans="1:8" ht="15.7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57693</v>
      </c>
    </row>
    <row r="372" spans="1:8" ht="15.7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76879</v>
      </c>
    </row>
    <row r="417" spans="1:8" ht="15.7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76879</v>
      </c>
    </row>
    <row r="421" spans="1:8" ht="15.7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6295</v>
      </c>
    </row>
    <row r="422" spans="1:8" ht="15.7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83174</v>
      </c>
    </row>
    <row r="435" spans="1:8" ht="15.7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83174</v>
      </c>
    </row>
    <row r="438" spans="1:8" ht="15.7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46255</v>
      </c>
    </row>
    <row r="465" spans="1:8" ht="15.7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46255</v>
      </c>
    </row>
    <row r="469" spans="1:8" ht="15.7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46255</v>
      </c>
    </row>
    <row r="495" spans="1:8" ht="15.7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46255</v>
      </c>
    </row>
    <row r="499" spans="1:8" ht="15.7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2021-04-23T14:34:38Z</cp:lastPrinted>
  <dcterms:created xsi:type="dcterms:W3CDTF">2006-09-16T00:00:00Z</dcterms:created>
  <dcterms:modified xsi:type="dcterms:W3CDTF">2021-04-23T17:05:59Z</dcterms:modified>
  <cp:category/>
  <cp:version/>
  <cp:contentType/>
  <cp:contentStatus/>
</cp:coreProperties>
</file>